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Explanatory Notes" sheetId="1" r:id="rId1"/>
    <sheet name="SBI &amp; Its Associates" sheetId="2" r:id="rId2"/>
    <sheet name="Nationalised Banks" sheetId="3" r:id="rId3"/>
    <sheet name="Foreign Banks" sheetId="4" r:id="rId4"/>
    <sheet name="Other SCBs" sheetId="5" r:id="rId5"/>
    <sheet name="Other details" sheetId="6" r:id="rId6"/>
  </sheets>
  <definedNames/>
  <calcPr fullCalcOnLoad="1"/>
</workbook>
</file>

<file path=xl/sharedStrings.xml><?xml version="1.0" encoding="utf-8"?>
<sst xmlns="http://schemas.openxmlformats.org/spreadsheetml/2006/main" count="2709" uniqueCount="166">
  <si>
    <t>2001-02</t>
  </si>
  <si>
    <t>2002-03</t>
  </si>
  <si>
    <t>2003-04</t>
  </si>
  <si>
    <t>2004-05</t>
  </si>
  <si>
    <t>Items</t>
  </si>
  <si>
    <t>No. of offices</t>
  </si>
  <si>
    <t>No. of employees</t>
  </si>
  <si>
    <t>Deposits</t>
  </si>
  <si>
    <t>Investments</t>
  </si>
  <si>
    <t>Advances</t>
  </si>
  <si>
    <t>Interest income</t>
  </si>
  <si>
    <t>Other income</t>
  </si>
  <si>
    <t>Interest expended</t>
  </si>
  <si>
    <t>Operating expenses</t>
  </si>
  <si>
    <t>Cost of funds</t>
  </si>
  <si>
    <t>Return on Assets</t>
  </si>
  <si>
    <t>CRAR</t>
  </si>
  <si>
    <t>Net NPA ratio</t>
  </si>
  <si>
    <t>Return on advances adjusted to cost of funds</t>
  </si>
  <si>
    <t xml:space="preserve">                (Amount in rupees crore)</t>
  </si>
  <si>
    <t>Business per employee (in Rs.lakhs)</t>
  </si>
  <si>
    <t>Nationalised Banks</t>
  </si>
  <si>
    <t>Allahabad Bank</t>
  </si>
  <si>
    <t>Andhra Bank</t>
  </si>
  <si>
    <t>Bank of Baroda</t>
  </si>
  <si>
    <t>Bank of India</t>
  </si>
  <si>
    <t>Canara Bank</t>
  </si>
  <si>
    <t>Oriental Bank of Commerce</t>
  </si>
  <si>
    <t>Syndicate Bank</t>
  </si>
  <si>
    <t>Foreign Banks</t>
  </si>
  <si>
    <t>Abu Dhabi Commercial Bank</t>
  </si>
  <si>
    <t>Bank International Indonesia</t>
  </si>
  <si>
    <t>Bank of America</t>
  </si>
  <si>
    <t>Bank of Bahrain &amp; Kuwait</t>
  </si>
  <si>
    <t>Bank of Ceylon</t>
  </si>
  <si>
    <t>Barclays Bank</t>
  </si>
  <si>
    <t>BNP Paribas</t>
  </si>
  <si>
    <t>Chinatrust Commercial Bank</t>
  </si>
  <si>
    <t>Calyon Bank</t>
  </si>
  <si>
    <t>Deutsche Bank</t>
  </si>
  <si>
    <t>Hongkong &amp; Shanghai Banking Corpn.</t>
  </si>
  <si>
    <t>Mashreq Bank</t>
  </si>
  <si>
    <t>Societe Generale</t>
  </si>
  <si>
    <t>DBS Bank</t>
  </si>
  <si>
    <t>Other Scheduled Commercial Banks</t>
  </si>
  <si>
    <t>City Union Bank</t>
  </si>
  <si>
    <t>Federal Bank</t>
  </si>
  <si>
    <t>Ganesh Bank of Kurundwad</t>
  </si>
  <si>
    <t>ING Vysya Bank</t>
  </si>
  <si>
    <t>Karnataka Bank</t>
  </si>
  <si>
    <t>Nainital Bank</t>
  </si>
  <si>
    <t>Ratnakar Bank</t>
  </si>
  <si>
    <t>IndusInd Bank</t>
  </si>
  <si>
    <t>Group Average</t>
  </si>
  <si>
    <t>Wages as % to total expenses</t>
  </si>
  <si>
    <t>All Banks Average</t>
  </si>
  <si>
    <t>Profit per employee (in Rs.lakhs)</t>
  </si>
  <si>
    <t xml:space="preserve">     State Bank of Hyderabad</t>
  </si>
  <si>
    <t xml:space="preserve">              State Bank of Indore</t>
  </si>
  <si>
    <t xml:space="preserve">               State Bank of Mysore</t>
  </si>
  <si>
    <t xml:space="preserve">              State Bank of Patiala</t>
  </si>
  <si>
    <t xml:space="preserve">       State Bank of Saurashtra</t>
  </si>
  <si>
    <t xml:space="preserve">      State Bank of Travancore</t>
  </si>
  <si>
    <t xml:space="preserve">            State Bank of India</t>
  </si>
  <si>
    <t xml:space="preserve">            Bank of Maharashtra</t>
  </si>
  <si>
    <t xml:space="preserve">                Central Bank of India</t>
  </si>
  <si>
    <t xml:space="preserve">                   Corporation Bank</t>
  </si>
  <si>
    <t xml:space="preserve">     Dena Bank</t>
  </si>
  <si>
    <t xml:space="preserve">       IDBI Ltd.</t>
  </si>
  <si>
    <t xml:space="preserve">    Indian Bank</t>
  </si>
  <si>
    <t xml:space="preserve">        Indian Overseas Bank</t>
  </si>
  <si>
    <t xml:space="preserve">             Punjab &amp; Sind Bank</t>
  </si>
  <si>
    <t xml:space="preserve">         Punjab National Bank</t>
  </si>
  <si>
    <t xml:space="preserve">     UCO Bank</t>
  </si>
  <si>
    <t xml:space="preserve">               Union Bank of India</t>
  </si>
  <si>
    <t xml:space="preserve">                United Bank of India</t>
  </si>
  <si>
    <t xml:space="preserve">    Vijaya Bank</t>
  </si>
  <si>
    <t xml:space="preserve">                ABN Amro Bank</t>
  </si>
  <si>
    <t xml:space="preserve">     American Express Bank</t>
  </si>
  <si>
    <t xml:space="preserve">          Antwerp Diamond Bank</t>
  </si>
  <si>
    <t xml:space="preserve">         Arab Bangladesh Bank</t>
  </si>
  <si>
    <t xml:space="preserve">              Bank of Nova Scotia</t>
  </si>
  <si>
    <t xml:space="preserve">    Bank of Tokyo Mitsubishi</t>
  </si>
  <si>
    <t xml:space="preserve">                   Cho Hung Bank</t>
  </si>
  <si>
    <t xml:space="preserve">        Citibank</t>
  </si>
  <si>
    <t xml:space="preserve">         JP Morgan Chase Bank</t>
  </si>
  <si>
    <t xml:space="preserve">                     Krung Thai Bank</t>
  </si>
  <si>
    <t xml:space="preserve">      Mizuho Corporate Bank </t>
  </si>
  <si>
    <t xml:space="preserve">      Oman International Bank</t>
  </si>
  <si>
    <t xml:space="preserve">     Sonali Bank</t>
  </si>
  <si>
    <t xml:space="preserve">    Standard Chartered Bank</t>
  </si>
  <si>
    <t xml:space="preserve">        State Bank of Mauritius</t>
  </si>
  <si>
    <t xml:space="preserve">                Bank of Rajasthan</t>
  </si>
  <si>
    <t xml:space="preserve">         Bharat Overseas Bank</t>
  </si>
  <si>
    <t xml:space="preserve">                Catholic Syrian Bank</t>
  </si>
  <si>
    <t xml:space="preserve">       Development Credit Bank</t>
  </si>
  <si>
    <t xml:space="preserve">                Dhanalakshmi Bank</t>
  </si>
  <si>
    <t xml:space="preserve">    HDFC Bank</t>
  </si>
  <si>
    <t xml:space="preserve">         ICICI Bank</t>
  </si>
  <si>
    <t xml:space="preserve">      Jammu &amp; Kashmir Bank</t>
  </si>
  <si>
    <t xml:space="preserve">               Karur Vysya Bank</t>
  </si>
  <si>
    <t xml:space="preserve">              Kotak Mahindra Bank</t>
  </si>
  <si>
    <t xml:space="preserve">                 Lakshmi Vilas Bank</t>
  </si>
  <si>
    <t xml:space="preserve">                   Lord Krishna Bank</t>
  </si>
  <si>
    <t xml:space="preserve">    Sangli Bank</t>
  </si>
  <si>
    <t xml:space="preserve">         SBI Comm. &amp; Intl. Bank</t>
  </si>
  <si>
    <t xml:space="preserve">                   South Indian Bank</t>
  </si>
  <si>
    <t xml:space="preserve">     Tamilnad Mercantile Bank</t>
  </si>
  <si>
    <t xml:space="preserve">             United Western Bank</t>
  </si>
  <si>
    <t xml:space="preserve">        UTI Bank</t>
  </si>
  <si>
    <t xml:space="preserve">        Yes Bank</t>
  </si>
  <si>
    <t>All Banks' Average</t>
  </si>
  <si>
    <t>SBI &amp; its Associates</t>
  </si>
  <si>
    <t xml:space="preserve">           State Bank of Bikaner &amp; Jaipur</t>
  </si>
  <si>
    <t>..</t>
  </si>
  <si>
    <t>Cost of funds (CoF)</t>
  </si>
  <si>
    <t>Return on advances adjusted CoF</t>
  </si>
  <si>
    <t>2005-06</t>
  </si>
  <si>
    <t>Centurion Bank of Punjab</t>
  </si>
  <si>
    <t>Capital and reserves &amp; surplus</t>
  </si>
  <si>
    <t>Explanatory Notes</t>
  </si>
  <si>
    <t>Data sources</t>
  </si>
  <si>
    <t>Data definitions</t>
  </si>
  <si>
    <t>Bank group level averages</t>
  </si>
  <si>
    <t>General</t>
  </si>
  <si>
    <t>a)</t>
  </si>
  <si>
    <t xml:space="preserve">Most of the data presented in the publication are from annual accounts of banks. </t>
  </si>
  <si>
    <t>b)</t>
  </si>
  <si>
    <t>Data for the previous years are from the annual publication, "Statistical Tables Relating to Banks in India"; some data for the previous years have been revised.</t>
  </si>
  <si>
    <t>c)</t>
  </si>
  <si>
    <t xml:space="preserve">Data for the year 2005-06 are from published annul accounts of banks. </t>
  </si>
  <si>
    <t>d)</t>
  </si>
  <si>
    <t xml:space="preserve">Data on number of offices are from Master Office File, DESACS, RBI. </t>
  </si>
  <si>
    <t>e)</t>
  </si>
  <si>
    <t>Data on number of employees are from Indian Banks' Association (IBA).</t>
  </si>
  <si>
    <t>Capital, reserves &amp; surplus, deposits, investments, advances, interest income, interest expended and operating expenses are as in annual accounts of banks.</t>
  </si>
  <si>
    <t xml:space="preserve">Business (defined as deposits and advances) per employee, profit per employee, return on assets, capital adequacy ratio (CRAR) and net nonperforming assets as percentage of net advances (Net NPA ratio) are from 'Notes on Accounts' of annual accounts. </t>
  </si>
  <si>
    <t>Number of offices is as per Master Office File, DESACS, RBI.</t>
  </si>
  <si>
    <t>Cost of funds (CoF) is defined as the ratio of interest paid on deposits and borrowings to average of deposits and borrowings for the years 2004-05 and 2005-06.</t>
  </si>
  <si>
    <t>Cost adjusted return on advances is CoF subtracted from return on advances, where return on advances is defined as the ratio of interest earned on advances to average of advances for the years 2004-05 and 2005-06.</t>
  </si>
  <si>
    <t>f)</t>
  </si>
  <si>
    <t>Wages as percentage to total expenses is computed as the ratio of payment to and provisions for employees to averages of total expenses for the years 2004-05 and 2005-06.</t>
  </si>
  <si>
    <t>Business per employee (or profit per employee) is computed by dividing the total business (or profit) for the group (as available in annual accounts) by the number of employees in the group (as obtained from IBA).</t>
  </si>
  <si>
    <t xml:space="preserve">CoF is computed as the ratio of interest paid on deposits and borrowings to average of deposits and borrowings of the group for the years 2004-05 and 2005-06. </t>
  </si>
  <si>
    <t>Return on advances adjusted to CoF is computed by subtracting CoF for the group from return on advances for the group; the latter is computed as the ratio of interest earned on advances by the group to average of total advances of the group for the years 2004-05 and 2005-06.</t>
  </si>
  <si>
    <t>Return on assets for a group is obtained as weighted average of return of assets of individual banks in the group, weights being the proportion of total assets of the bank as percentage to total assets of the group.</t>
  </si>
  <si>
    <t>Capital adequacy ratio and net NPA ratio for the four bank groups and also for all banks have been obtained from OSMOS, Department of Banking Supervision, RBI.</t>
  </si>
  <si>
    <t xml:space="preserve">For rest of the items, simple averages are used at the group level. </t>
  </si>
  <si>
    <t>g)</t>
  </si>
  <si>
    <t xml:space="preserve">Similar definitions are used at all banks' level. </t>
  </si>
  <si>
    <t>h)</t>
  </si>
  <si>
    <t xml:space="preserve">All banks' averages are computed based on state bank group (8 banks), nationalised banks (20), foreign banks (29) and other scheduled commercial banks (26 banks, excluding Sangli Bank and Ganesh Bank of Kurundward). </t>
  </si>
  <si>
    <t>i)</t>
  </si>
  <si>
    <t>IDBI Limited is considered as a nationalised bank.</t>
  </si>
  <si>
    <t>When a bank starts functioning at an intermediate year, no data are given for preceding years.</t>
  </si>
  <si>
    <t>The symbol '-' indicates nil or negligible and the symbol '..' indicates not applicable or not available.</t>
  </si>
  <si>
    <t xml:space="preserve">This is an attempt to provide quick and handy access to data on scheduled commercial banks from 2001-02 to 2005-06, excluding regional rural banks.  </t>
  </si>
  <si>
    <t>This is the second volume in the series; first volume of the series was published for the year 2004-05.</t>
  </si>
  <si>
    <t>"A Profile of Banks 2005-06" is published by Dr.A.S.Ramasastri, Director, Department of Statistical Analysis and Computer Services, Division of Banking Studies,</t>
  </si>
  <si>
    <t xml:space="preserve">Queries and suggestions on the publication may be sent to asramasastri@rbi.org.in. Copies of the volume can be obtained from the Director, Division of Reports, </t>
  </si>
  <si>
    <t xml:space="preserve">Reviews and Publications (Sales Section), Department of Economic Analysis and Policy, Reserve Bank of India, Amar Building, Ground Floor, P.M.Road, P.B.No.1036, Fort, </t>
  </si>
  <si>
    <t>Hard copy of the publication is priced at Rs.90/- (normal) and Rs.120/- (inclusive of postage) for inland and US$55 (inclusive of courier charges) and US$20 (inclusive of registered airmail) for abroad.</t>
  </si>
  <si>
    <t xml:space="preserve">Reserve Bank of India, C-9, Bandra-Kurla Complex, Bandra (East), Post Box No. 8128, Mumbai 400 051. </t>
  </si>
  <si>
    <t xml:space="preserve">As on the date of publication, annual accounts of Sangli Bank is not available; so is the case with Ganesh Bank of Kurundwad, which is under moratorium. </t>
  </si>
  <si>
    <t xml:space="preserve">However, data for these two banks are given for previous years. </t>
  </si>
  <si>
    <t>Mumbai 400 001. Cheques / Drafts should be drawn in favour of "Reserve Bank of India", payable at Mumbai.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</si>
</sst>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_-* #,##0.000_-;\-* #,##0.000_-;_-* &quot;-&quot;??_-;_-@_-"/>
    <numFmt numFmtId="175" formatCode="_-* #,##0.0000_-;\-* #,##0.0000_-;_-* &quot;-&quot;??_-;_-@_-"/>
    <numFmt numFmtId="176" formatCode="0.0000"/>
    <numFmt numFmtId="177" formatCode="0.000000"/>
    <numFmt numFmtId="178" formatCode="0.00000"/>
    <numFmt numFmtId="179" formatCode="0.0000000"/>
  </numFmts>
  <fonts count="8">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sz val="8"/>
      <name val="Arial"/>
      <family val="2"/>
    </font>
    <font>
      <i/>
      <sz val="8"/>
      <name val="Arial"/>
      <family val="2"/>
    </font>
    <font>
      <b/>
      <sz val="12"/>
      <name val="Arial"/>
      <family val="2"/>
    </font>
  </fonts>
  <fills count="3">
    <fill>
      <patternFill/>
    </fill>
    <fill>
      <patternFill patternType="gray125"/>
    </fill>
    <fill>
      <patternFill patternType="solid">
        <fgColor indexed="40"/>
        <bgColor indexed="64"/>
      </patternFill>
    </fill>
  </fills>
  <borders count="4">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2" fontId="0" fillId="0" borderId="0" xfId="0" applyNumberFormat="1" applyFill="1" applyBorder="1" applyAlignment="1">
      <alignment/>
    </xf>
    <xf numFmtId="2" fontId="0" fillId="0" borderId="0" xfId="0" applyNumberFormat="1" applyBorder="1" applyAlignment="1">
      <alignment/>
    </xf>
    <xf numFmtId="1" fontId="0" fillId="0" borderId="0" xfId="0" applyNumberFormat="1" applyBorder="1" applyAlignment="1">
      <alignment/>
    </xf>
    <xf numFmtId="0" fontId="0" fillId="0" borderId="0" xfId="0" applyBorder="1" applyAlignment="1" quotePrefix="1">
      <alignment/>
    </xf>
    <xf numFmtId="0" fontId="0" fillId="0" borderId="0" xfId="0" applyBorder="1" applyAlignment="1" quotePrefix="1">
      <alignment horizontal="right"/>
    </xf>
    <xf numFmtId="1" fontId="0" fillId="0" borderId="0" xfId="0" applyNumberFormat="1" applyFill="1" applyBorder="1" applyAlignment="1">
      <alignment/>
    </xf>
    <xf numFmtId="0" fontId="0" fillId="0" borderId="0" xfId="0" applyFill="1" applyBorder="1" applyAlignment="1" quotePrefix="1">
      <alignment horizontal="right"/>
    </xf>
    <xf numFmtId="0" fontId="0" fillId="0" borderId="0" xfId="0" applyFill="1" applyBorder="1" applyAlignment="1">
      <alignment horizontal="right"/>
    </xf>
    <xf numFmtId="0" fontId="0" fillId="0" borderId="0" xfId="0" applyBorder="1" applyAlignment="1">
      <alignment horizontal="right"/>
    </xf>
    <xf numFmtId="2" fontId="0" fillId="0" borderId="0" xfId="0" applyNumberFormat="1" applyFill="1" applyBorder="1" applyAlignment="1">
      <alignment horizontal="righ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2" fontId="0" fillId="2" borderId="0" xfId="0" applyNumberFormat="1" applyFill="1" applyBorder="1" applyAlignment="1">
      <alignment/>
    </xf>
    <xf numFmtId="0" fontId="0" fillId="2" borderId="3" xfId="0" applyFill="1" applyBorder="1" applyAlignment="1">
      <alignment horizontal="center"/>
    </xf>
    <xf numFmtId="0" fontId="4" fillId="0" borderId="0" xfId="0" applyFont="1" applyAlignment="1">
      <alignment/>
    </xf>
    <xf numFmtId="1" fontId="0" fillId="2" borderId="0" xfId="0" applyNumberFormat="1" applyFill="1" applyBorder="1" applyAlignment="1">
      <alignment/>
    </xf>
    <xf numFmtId="0" fontId="0" fillId="2" borderId="0" xfId="0" applyFill="1" applyBorder="1" applyAlignment="1" quotePrefix="1">
      <alignment horizontal="right"/>
    </xf>
    <xf numFmtId="0" fontId="1"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horizontal="center"/>
    </xf>
    <xf numFmtId="0" fontId="1" fillId="2" borderId="0" xfId="0" applyFont="1" applyFill="1" applyAlignment="1">
      <alignment/>
    </xf>
    <xf numFmtId="0" fontId="0" fillId="2" borderId="0" xfId="0" applyFill="1" applyAlignment="1">
      <alignment/>
    </xf>
    <xf numFmtId="0" fontId="0" fillId="2" borderId="0" xfId="0" applyFill="1" applyBorder="1" applyAlignment="1">
      <alignment horizontal="center"/>
    </xf>
    <xf numFmtId="0" fontId="5" fillId="0" borderId="0" xfId="0" applyFont="1" applyAlignment="1">
      <alignment/>
    </xf>
    <xf numFmtId="0" fontId="1" fillId="2" borderId="0" xfId="0" applyFont="1" applyFill="1" applyBorder="1" applyAlignment="1">
      <alignment/>
    </xf>
    <xf numFmtId="2" fontId="0" fillId="0" borderId="0" xfId="0" applyNumberFormat="1" applyBorder="1" applyAlignment="1" quotePrefix="1">
      <alignment horizontal="right"/>
    </xf>
    <xf numFmtId="0" fontId="0" fillId="2" borderId="1" xfId="0" applyFill="1" applyBorder="1" applyAlignment="1">
      <alignment/>
    </xf>
    <xf numFmtId="2" fontId="0" fillId="0" borderId="0" xfId="0" applyNumberFormat="1" applyBorder="1" applyAlignment="1">
      <alignment horizontal="right"/>
    </xf>
    <xf numFmtId="0" fontId="4" fillId="0" borderId="0" xfId="0" applyFont="1" applyBorder="1" applyAlignment="1">
      <alignment/>
    </xf>
    <xf numFmtId="2" fontId="0" fillId="0" borderId="0" xfId="0" applyNumberFormat="1" applyBorder="1" applyAlignment="1" quotePrefix="1">
      <alignment/>
    </xf>
    <xf numFmtId="0" fontId="6" fillId="0" borderId="0" xfId="0" applyFont="1" applyBorder="1" applyAlignment="1">
      <alignment horizontal="right"/>
    </xf>
    <xf numFmtId="0" fontId="6" fillId="0" borderId="0" xfId="0" applyFont="1" applyBorder="1" applyAlignment="1">
      <alignment/>
    </xf>
    <xf numFmtId="2" fontId="0" fillId="2" borderId="0" xfId="0" applyNumberFormat="1" applyFill="1" applyBorder="1" applyAlignment="1" quotePrefix="1">
      <alignment/>
    </xf>
    <xf numFmtId="0" fontId="6" fillId="0" borderId="0" xfId="0" applyFont="1" applyAlignment="1">
      <alignment horizontal="right"/>
    </xf>
    <xf numFmtId="0" fontId="5" fillId="0" borderId="0" xfId="0" applyFont="1" applyBorder="1" applyAlignment="1">
      <alignment/>
    </xf>
    <xf numFmtId="0" fontId="1" fillId="2" borderId="0" xfId="0" applyFont="1" applyFill="1" applyAlignment="1">
      <alignment horizontal="right"/>
    </xf>
    <xf numFmtId="0" fontId="0" fillId="2" borderId="0" xfId="0" applyFill="1" applyBorder="1" applyAlignment="1">
      <alignment horizontal="right"/>
    </xf>
    <xf numFmtId="0" fontId="0" fillId="0" borderId="0" xfId="0" applyFill="1" applyAlignment="1">
      <alignment/>
    </xf>
    <xf numFmtId="0" fontId="5" fillId="0" borderId="0" xfId="0" applyFont="1" applyFill="1" applyBorder="1" applyAlignment="1">
      <alignment/>
    </xf>
    <xf numFmtId="2" fontId="0" fillId="0" borderId="0" xfId="0" applyNumberFormat="1" applyFill="1" applyBorder="1" applyAlignment="1" quotePrefix="1">
      <alignment horizontal="right"/>
    </xf>
    <xf numFmtId="2" fontId="0" fillId="0" borderId="0" xfId="0" applyNumberFormat="1" applyFill="1" applyBorder="1" applyAlignment="1" quotePrefix="1">
      <alignment/>
    </xf>
    <xf numFmtId="2" fontId="0" fillId="0" borderId="0" xfId="0" applyNumberFormat="1" applyFill="1" applyAlignment="1">
      <alignment/>
    </xf>
    <xf numFmtId="2" fontId="0" fillId="0" borderId="1" xfId="0" applyNumberFormat="1" applyBorder="1" applyAlignment="1">
      <alignment/>
    </xf>
    <xf numFmtId="2" fontId="0" fillId="0" borderId="0" xfId="15" applyNumberFormat="1" applyBorder="1" applyAlignment="1">
      <alignment/>
    </xf>
    <xf numFmtId="0" fontId="1" fillId="0" borderId="0" xfId="0" applyFont="1" applyFill="1" applyAlignment="1">
      <alignment/>
    </xf>
    <xf numFmtId="0" fontId="6" fillId="0" borderId="0" xfId="0" applyFont="1" applyFill="1" applyBorder="1" applyAlignment="1">
      <alignment horizontal="right"/>
    </xf>
    <xf numFmtId="0" fontId="0" fillId="0" borderId="0" xfId="0" applyFill="1" applyAlignment="1">
      <alignment horizontal="center"/>
    </xf>
    <xf numFmtId="0" fontId="6" fillId="0" borderId="0" xfId="0" applyFont="1" applyFill="1" applyAlignment="1">
      <alignment horizontal="right"/>
    </xf>
    <xf numFmtId="0" fontId="0" fillId="0" borderId="1" xfId="0" applyFill="1" applyBorder="1" applyAlignment="1">
      <alignment/>
    </xf>
    <xf numFmtId="2" fontId="0" fillId="0" borderId="1" xfId="0" applyNumberFormat="1" applyFill="1" applyBorder="1" applyAlignment="1">
      <alignment/>
    </xf>
    <xf numFmtId="0" fontId="0" fillId="0" borderId="0" xfId="0" applyNumberFormat="1" applyAlignme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B24" sqref="B24"/>
    </sheetView>
  </sheetViews>
  <sheetFormatPr defaultColWidth="9.140625" defaultRowHeight="12.75"/>
  <cols>
    <col min="1" max="1" width="3.28125" style="0" customWidth="1"/>
    <col min="2" max="2" width="228.57421875" style="0" bestFit="1" customWidth="1"/>
  </cols>
  <sheetData>
    <row r="1" ht="15.75">
      <c r="F1" s="57" t="s">
        <v>120</v>
      </c>
    </row>
    <row r="3" ht="12.75">
      <c r="A3" t="s">
        <v>156</v>
      </c>
    </row>
    <row r="4" ht="12.75">
      <c r="A4" t="s">
        <v>157</v>
      </c>
    </row>
    <row r="6" ht="12.75">
      <c r="A6" s="1" t="s">
        <v>121</v>
      </c>
    </row>
    <row r="8" spans="1:2" ht="12.75">
      <c r="A8" t="s">
        <v>125</v>
      </c>
      <c r="B8" t="s">
        <v>126</v>
      </c>
    </row>
    <row r="9" spans="1:2" ht="12.75">
      <c r="A9" t="s">
        <v>127</v>
      </c>
      <c r="B9" t="s">
        <v>128</v>
      </c>
    </row>
    <row r="10" spans="1:2" ht="12.75">
      <c r="A10" t="s">
        <v>129</v>
      </c>
      <c r="B10" t="s">
        <v>130</v>
      </c>
    </row>
    <row r="11" spans="1:2" ht="12.75">
      <c r="A11" t="s">
        <v>131</v>
      </c>
      <c r="B11" t="s">
        <v>132</v>
      </c>
    </row>
    <row r="12" spans="1:2" ht="12.75">
      <c r="A12" t="s">
        <v>133</v>
      </c>
      <c r="B12" t="s">
        <v>134</v>
      </c>
    </row>
    <row r="15" ht="12.75">
      <c r="A15" s="1" t="s">
        <v>122</v>
      </c>
    </row>
    <row r="17" spans="1:2" ht="12.75">
      <c r="A17" t="s">
        <v>125</v>
      </c>
      <c r="B17" t="s">
        <v>135</v>
      </c>
    </row>
    <row r="18" spans="1:2" ht="12.75">
      <c r="A18" t="s">
        <v>127</v>
      </c>
      <c r="B18" t="s">
        <v>136</v>
      </c>
    </row>
    <row r="19" spans="1:2" ht="12.75">
      <c r="A19" t="s">
        <v>129</v>
      </c>
      <c r="B19" t="s">
        <v>137</v>
      </c>
    </row>
    <row r="20" spans="1:2" ht="12.75">
      <c r="A20" t="s">
        <v>131</v>
      </c>
      <c r="B20" t="s">
        <v>138</v>
      </c>
    </row>
    <row r="21" spans="1:2" ht="12.75">
      <c r="A21" t="s">
        <v>133</v>
      </c>
      <c r="B21" t="s">
        <v>139</v>
      </c>
    </row>
    <row r="22" spans="1:2" ht="12.75">
      <c r="A22" t="s">
        <v>140</v>
      </c>
      <c r="B22" t="s">
        <v>141</v>
      </c>
    </row>
    <row r="24" ht="12.75">
      <c r="A24" s="1" t="s">
        <v>123</v>
      </c>
    </row>
    <row r="26" spans="1:2" ht="12.75">
      <c r="A26" t="s">
        <v>125</v>
      </c>
      <c r="B26" t="s">
        <v>142</v>
      </c>
    </row>
    <row r="27" spans="1:2" ht="12.75">
      <c r="A27" t="s">
        <v>127</v>
      </c>
      <c r="B27" t="s">
        <v>143</v>
      </c>
    </row>
    <row r="28" spans="1:2" ht="12.75">
      <c r="A28" t="s">
        <v>129</v>
      </c>
      <c r="B28" s="56" t="s">
        <v>144</v>
      </c>
    </row>
    <row r="29" spans="1:2" ht="12.75">
      <c r="A29" t="s">
        <v>131</v>
      </c>
      <c r="B29" t="s">
        <v>145</v>
      </c>
    </row>
    <row r="30" spans="1:2" ht="12.75">
      <c r="A30" t="s">
        <v>133</v>
      </c>
      <c r="B30" t="s">
        <v>146</v>
      </c>
    </row>
    <row r="31" spans="1:2" ht="12.75">
      <c r="A31" t="s">
        <v>140</v>
      </c>
      <c r="B31" t="s">
        <v>147</v>
      </c>
    </row>
    <row r="32" spans="1:2" ht="12.75">
      <c r="A32" t="s">
        <v>148</v>
      </c>
      <c r="B32" t="s">
        <v>149</v>
      </c>
    </row>
    <row r="33" spans="1:2" ht="12.75">
      <c r="A33" t="s">
        <v>150</v>
      </c>
      <c r="B33" t="s">
        <v>151</v>
      </c>
    </row>
    <row r="34" spans="1:2" ht="12.75">
      <c r="A34" t="s">
        <v>152</v>
      </c>
      <c r="B34" t="s">
        <v>153</v>
      </c>
    </row>
    <row r="36" ht="12.75">
      <c r="A36" s="1" t="s">
        <v>124</v>
      </c>
    </row>
    <row r="38" spans="1:2" ht="12.75">
      <c r="A38" t="s">
        <v>125</v>
      </c>
      <c r="B38" t="s">
        <v>163</v>
      </c>
    </row>
    <row r="39" ht="12.75">
      <c r="B39" t="s">
        <v>164</v>
      </c>
    </row>
    <row r="40" spans="1:2" ht="12.75">
      <c r="A40" t="s">
        <v>127</v>
      </c>
      <c r="B40" t="s">
        <v>154</v>
      </c>
    </row>
    <row r="41" spans="1:2" ht="12.75">
      <c r="A41" t="s">
        <v>129</v>
      </c>
      <c r="B41" t="s">
        <v>155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84"/>
  <sheetViews>
    <sheetView workbookViewId="0" topLeftCell="A1">
      <selection activeCell="AB25" sqref="AB25"/>
    </sheetView>
  </sheetViews>
  <sheetFormatPr defaultColWidth="9.140625" defaultRowHeight="12.75"/>
  <cols>
    <col min="1" max="1" width="38.28125" style="0" customWidth="1"/>
    <col min="2" max="6" width="8.57421875" style="0" customWidth="1"/>
    <col min="7" max="7" width="12.7109375" style="0" customWidth="1"/>
    <col min="8" max="8" width="16.140625" style="0" customWidth="1"/>
    <col min="9" max="9" width="9.140625" style="3" customWidth="1"/>
    <col min="10" max="10" width="37.00390625" style="0" customWidth="1"/>
    <col min="11" max="15" width="8.57421875" style="0" customWidth="1"/>
    <col min="16" max="16" width="12.7109375" style="0" customWidth="1"/>
    <col min="17" max="17" width="16.00390625" style="0" customWidth="1"/>
    <col min="18" max="18" width="8.421875" style="3" customWidth="1"/>
    <col min="19" max="19" width="37.8515625" style="0" customWidth="1"/>
    <col min="20" max="24" width="8.57421875" style="0" customWidth="1"/>
    <col min="25" max="25" width="12.7109375" style="0" customWidth="1"/>
    <col min="26" max="26" width="16.57421875" style="0" customWidth="1"/>
    <col min="27" max="27" width="9.140625" style="3" customWidth="1"/>
    <col min="28" max="28" width="31.140625" style="0" customWidth="1"/>
    <col min="29" max="29" width="10.421875" style="0" customWidth="1"/>
    <col min="30" max="30" width="10.28125" style="0" customWidth="1"/>
    <col min="31" max="31" width="12.57421875" style="0" customWidth="1"/>
    <col min="32" max="32" width="10.57421875" style="0" customWidth="1"/>
    <col min="33" max="33" width="9.140625" style="3" customWidth="1"/>
  </cols>
  <sheetData>
    <row r="1" ht="12.75">
      <c r="S1" s="1"/>
    </row>
    <row r="2" spans="1:28" ht="12.75">
      <c r="A2" s="26" t="s">
        <v>112</v>
      </c>
      <c r="B2" s="27"/>
      <c r="C2" s="26"/>
      <c r="D2" s="27"/>
      <c r="E2" s="27"/>
      <c r="F2" s="27"/>
      <c r="G2" s="26" t="s">
        <v>63</v>
      </c>
      <c r="H2" s="27"/>
      <c r="J2" s="26" t="s">
        <v>112</v>
      </c>
      <c r="K2" s="27"/>
      <c r="L2" s="27"/>
      <c r="M2" s="27"/>
      <c r="N2" s="26" t="s">
        <v>113</v>
      </c>
      <c r="O2" s="26"/>
      <c r="P2" s="27"/>
      <c r="Q2" s="27"/>
      <c r="S2" s="26" t="s">
        <v>112</v>
      </c>
      <c r="T2" s="27"/>
      <c r="U2" s="27"/>
      <c r="V2" s="27"/>
      <c r="W2" s="27"/>
      <c r="X2" s="27"/>
      <c r="Y2" s="26" t="s">
        <v>57</v>
      </c>
      <c r="Z2" s="27"/>
      <c r="AB2" s="1"/>
    </row>
    <row r="3" spans="8:32" ht="12.75">
      <c r="H3" s="39" t="s">
        <v>19</v>
      </c>
      <c r="Q3" s="39" t="s">
        <v>19</v>
      </c>
      <c r="Z3" s="39" t="s">
        <v>19</v>
      </c>
      <c r="AB3" s="43"/>
      <c r="AC3" s="43"/>
      <c r="AD3" s="43"/>
      <c r="AE3" s="43"/>
      <c r="AF3" s="43"/>
    </row>
    <row r="4" spans="1:32" ht="12.75">
      <c r="A4" s="17" t="s">
        <v>4</v>
      </c>
      <c r="B4" s="17" t="s">
        <v>0</v>
      </c>
      <c r="C4" s="17" t="s">
        <v>1</v>
      </c>
      <c r="D4" s="17" t="s">
        <v>2</v>
      </c>
      <c r="E4" s="17" t="s">
        <v>3</v>
      </c>
      <c r="F4" s="17" t="s">
        <v>117</v>
      </c>
      <c r="G4" s="17" t="s">
        <v>53</v>
      </c>
      <c r="H4" s="17" t="s">
        <v>111</v>
      </c>
      <c r="J4" s="17" t="s">
        <v>4</v>
      </c>
      <c r="K4" s="17" t="s">
        <v>0</v>
      </c>
      <c r="L4" s="17" t="s">
        <v>1</v>
      </c>
      <c r="M4" s="17" t="s">
        <v>2</v>
      </c>
      <c r="N4" s="17" t="s">
        <v>3</v>
      </c>
      <c r="O4" s="17" t="s">
        <v>117</v>
      </c>
      <c r="P4" s="17" t="s">
        <v>53</v>
      </c>
      <c r="Q4" s="17" t="s">
        <v>111</v>
      </c>
      <c r="S4" s="17" t="s">
        <v>4</v>
      </c>
      <c r="T4" s="17" t="s">
        <v>0</v>
      </c>
      <c r="U4" s="17" t="s">
        <v>1</v>
      </c>
      <c r="V4" s="17" t="s">
        <v>2</v>
      </c>
      <c r="W4" s="17" t="s">
        <v>3</v>
      </c>
      <c r="X4" s="17" t="s">
        <v>117</v>
      </c>
      <c r="Y4" s="17" t="s">
        <v>53</v>
      </c>
      <c r="Z4" s="17" t="s">
        <v>111</v>
      </c>
      <c r="AB4" s="4"/>
      <c r="AC4" s="4"/>
      <c r="AD4" s="4"/>
      <c r="AE4" s="4"/>
      <c r="AF4" s="4"/>
    </row>
    <row r="5" spans="1:32" ht="12.75">
      <c r="A5" s="32"/>
      <c r="B5" s="17"/>
      <c r="C5" s="17"/>
      <c r="D5" s="17"/>
      <c r="E5" s="17"/>
      <c r="F5" s="17"/>
      <c r="G5" s="28" t="s">
        <v>117</v>
      </c>
      <c r="H5" s="28" t="s">
        <v>117</v>
      </c>
      <c r="J5" s="17"/>
      <c r="K5" s="17"/>
      <c r="L5" s="17"/>
      <c r="M5" s="17"/>
      <c r="N5" s="17"/>
      <c r="O5" s="17"/>
      <c r="P5" s="28" t="s">
        <v>117</v>
      </c>
      <c r="Q5" s="28" t="s">
        <v>117</v>
      </c>
      <c r="S5" s="17"/>
      <c r="T5" s="17"/>
      <c r="U5" s="17"/>
      <c r="V5" s="17"/>
      <c r="W5" s="17"/>
      <c r="X5" s="17"/>
      <c r="Y5" s="28" t="s">
        <v>117</v>
      </c>
      <c r="Z5" s="28" t="s">
        <v>117</v>
      </c>
      <c r="AB5" s="4"/>
      <c r="AC5" s="4"/>
      <c r="AD5" s="4"/>
      <c r="AE5" s="4"/>
      <c r="AF5" s="4"/>
    </row>
    <row r="6" spans="1:32" ht="12.75">
      <c r="A6" s="3" t="s">
        <v>5</v>
      </c>
      <c r="B6" s="3">
        <v>9102</v>
      </c>
      <c r="C6" s="3">
        <v>9088</v>
      </c>
      <c r="D6" s="3">
        <v>9107</v>
      </c>
      <c r="E6" s="4">
        <v>9185</v>
      </c>
      <c r="F6" s="17">
        <v>9241</v>
      </c>
      <c r="G6" s="7">
        <f>14039/8</f>
        <v>1754.875</v>
      </c>
      <c r="H6" s="7">
        <f>(14039+35356+261+6746)/83</f>
        <v>679.5421686746988</v>
      </c>
      <c r="J6" s="3" t="s">
        <v>5</v>
      </c>
      <c r="K6" s="3">
        <v>816</v>
      </c>
      <c r="L6" s="3">
        <v>818</v>
      </c>
      <c r="M6" s="3">
        <v>824</v>
      </c>
      <c r="N6" s="4">
        <v>833</v>
      </c>
      <c r="O6" s="17">
        <v>836</v>
      </c>
      <c r="P6" s="7">
        <f>14039/8</f>
        <v>1754.875</v>
      </c>
      <c r="Q6" s="7">
        <f>(14039+35356+261+6746)/83</f>
        <v>679.5421686746988</v>
      </c>
      <c r="S6" s="3" t="s">
        <v>5</v>
      </c>
      <c r="T6" s="3">
        <v>905</v>
      </c>
      <c r="U6" s="3">
        <v>911</v>
      </c>
      <c r="V6" s="3">
        <v>920</v>
      </c>
      <c r="W6" s="4">
        <v>943</v>
      </c>
      <c r="X6" s="17">
        <v>959</v>
      </c>
      <c r="Y6" s="7">
        <f>14039/8</f>
        <v>1754.875</v>
      </c>
      <c r="Z6" s="7">
        <f>(14039+35356+261+6746)/83</f>
        <v>679.5421686746988</v>
      </c>
      <c r="AB6" s="4"/>
      <c r="AC6" s="10"/>
      <c r="AD6" s="10"/>
      <c r="AE6" s="10"/>
      <c r="AF6" s="10"/>
    </row>
    <row r="7" spans="1:32" ht="12.75">
      <c r="A7" s="2" t="s">
        <v>6</v>
      </c>
      <c r="B7" s="3">
        <v>209462</v>
      </c>
      <c r="C7" s="3">
        <v>208998</v>
      </c>
      <c r="D7" s="3">
        <v>207039</v>
      </c>
      <c r="E7" s="4">
        <v>205515</v>
      </c>
      <c r="F7" s="17">
        <v>198774</v>
      </c>
      <c r="G7" s="7">
        <v>33826</v>
      </c>
      <c r="H7" s="7">
        <v>10458</v>
      </c>
      <c r="J7" s="3" t="s">
        <v>6</v>
      </c>
      <c r="K7" s="3">
        <v>13293</v>
      </c>
      <c r="L7" s="3">
        <v>13209</v>
      </c>
      <c r="M7" s="3">
        <v>13054</v>
      </c>
      <c r="N7" s="4">
        <v>12120</v>
      </c>
      <c r="O7" s="17">
        <v>12089</v>
      </c>
      <c r="P7" s="7">
        <v>33826</v>
      </c>
      <c r="Q7" s="7">
        <v>10458</v>
      </c>
      <c r="S7" s="3" t="s">
        <v>6</v>
      </c>
      <c r="T7" s="3">
        <v>13476</v>
      </c>
      <c r="U7" s="3">
        <v>13378</v>
      </c>
      <c r="V7" s="3">
        <v>13278</v>
      </c>
      <c r="W7" s="4">
        <v>13107</v>
      </c>
      <c r="X7" s="17">
        <v>13108</v>
      </c>
      <c r="Y7" s="7">
        <v>33826</v>
      </c>
      <c r="Z7" s="7">
        <v>10458</v>
      </c>
      <c r="AB7" s="4"/>
      <c r="AC7" s="10"/>
      <c r="AD7" s="10"/>
      <c r="AE7" s="10"/>
      <c r="AF7" s="10"/>
    </row>
    <row r="8" spans="1:32" ht="12.75">
      <c r="A8" s="48" t="s">
        <v>20</v>
      </c>
      <c r="B8" s="6">
        <v>173.01</v>
      </c>
      <c r="C8" s="6">
        <v>191</v>
      </c>
      <c r="D8" s="6">
        <v>210.56</v>
      </c>
      <c r="E8" s="5">
        <v>243.08</v>
      </c>
      <c r="F8" s="18">
        <v>299.23</v>
      </c>
      <c r="G8" s="6">
        <v>337.73</v>
      </c>
      <c r="H8" s="6">
        <v>423.74</v>
      </c>
      <c r="I8" s="6"/>
      <c r="J8" s="6" t="s">
        <v>20</v>
      </c>
      <c r="K8" s="6">
        <v>129.42</v>
      </c>
      <c r="L8" s="6">
        <v>145.64</v>
      </c>
      <c r="M8" s="6">
        <v>169.82</v>
      </c>
      <c r="N8" s="5">
        <v>220.29</v>
      </c>
      <c r="O8" s="18">
        <v>276.85</v>
      </c>
      <c r="P8" s="6">
        <v>337.73</v>
      </c>
      <c r="Q8" s="6">
        <v>423.74</v>
      </c>
      <c r="R8" s="6"/>
      <c r="S8" s="6" t="s">
        <v>20</v>
      </c>
      <c r="T8" s="6">
        <v>166.04</v>
      </c>
      <c r="U8" s="6">
        <v>226.2</v>
      </c>
      <c r="V8" s="6">
        <v>265.86</v>
      </c>
      <c r="W8" s="5">
        <v>339.74</v>
      </c>
      <c r="X8" s="18">
        <v>414.34</v>
      </c>
      <c r="Y8" s="6">
        <v>337.73</v>
      </c>
      <c r="Z8" s="6">
        <v>423.74</v>
      </c>
      <c r="AA8" s="6"/>
      <c r="AB8" s="5"/>
      <c r="AC8" s="5"/>
      <c r="AD8" s="5"/>
      <c r="AE8" s="5"/>
      <c r="AF8" s="4"/>
    </row>
    <row r="9" spans="1:32" ht="12.75">
      <c r="A9" s="48" t="s">
        <v>56</v>
      </c>
      <c r="B9" s="6">
        <v>1.16</v>
      </c>
      <c r="C9" s="5">
        <v>1.47</v>
      </c>
      <c r="D9" s="6">
        <v>1.77</v>
      </c>
      <c r="E9" s="5">
        <v>2.08</v>
      </c>
      <c r="F9" s="18">
        <v>2.17</v>
      </c>
      <c r="G9" s="6">
        <v>2.2</v>
      </c>
      <c r="H9" s="6">
        <v>2.84</v>
      </c>
      <c r="I9" s="6"/>
      <c r="J9" s="6" t="s">
        <v>56</v>
      </c>
      <c r="K9" s="6">
        <v>1.31</v>
      </c>
      <c r="L9" s="6">
        <v>1.63</v>
      </c>
      <c r="M9" s="5">
        <v>5.52</v>
      </c>
      <c r="N9" s="5">
        <v>1.69</v>
      </c>
      <c r="O9" s="18">
        <v>1.2</v>
      </c>
      <c r="P9" s="6">
        <v>2.2</v>
      </c>
      <c r="Q9" s="6">
        <v>2.84</v>
      </c>
      <c r="R9" s="6"/>
      <c r="S9" s="6" t="s">
        <v>56</v>
      </c>
      <c r="T9" s="6">
        <v>1.68</v>
      </c>
      <c r="U9" s="6">
        <v>2.25</v>
      </c>
      <c r="V9" s="6">
        <v>2.87</v>
      </c>
      <c r="W9" s="5">
        <v>1.91</v>
      </c>
      <c r="X9" s="18">
        <v>3.26</v>
      </c>
      <c r="Y9" s="6">
        <v>2.2</v>
      </c>
      <c r="Z9" s="6">
        <v>2.84</v>
      </c>
      <c r="AA9" s="6"/>
      <c r="AB9" s="5"/>
      <c r="AC9" s="5"/>
      <c r="AD9" s="5"/>
      <c r="AE9" s="5"/>
      <c r="AF9" s="4"/>
    </row>
    <row r="10" spans="1:32" ht="12.75">
      <c r="A10" s="2"/>
      <c r="B10" s="3"/>
      <c r="C10" s="3"/>
      <c r="D10" s="3"/>
      <c r="E10" s="4"/>
      <c r="F10" s="17"/>
      <c r="G10" s="3"/>
      <c r="H10" s="3"/>
      <c r="J10" s="3"/>
      <c r="K10" s="3"/>
      <c r="L10" s="3"/>
      <c r="M10" s="3"/>
      <c r="N10" s="4"/>
      <c r="O10" s="17"/>
      <c r="P10" s="3"/>
      <c r="Q10" s="3"/>
      <c r="S10" s="3"/>
      <c r="T10" s="3"/>
      <c r="U10" s="3"/>
      <c r="V10" s="3"/>
      <c r="W10" s="4"/>
      <c r="X10" s="17"/>
      <c r="Y10" s="3"/>
      <c r="Z10" s="3"/>
      <c r="AB10" s="4"/>
      <c r="AC10" s="4"/>
      <c r="AD10" s="4"/>
      <c r="AE10" s="4"/>
      <c r="AF10" s="4"/>
    </row>
    <row r="11" spans="1:32" ht="12.75">
      <c r="A11" s="2" t="s">
        <v>119</v>
      </c>
      <c r="B11" s="3">
        <f>526+14698</f>
        <v>15224</v>
      </c>
      <c r="C11" s="3">
        <f>526+16677</f>
        <v>17203</v>
      </c>
      <c r="D11" s="3">
        <f>526+19705</f>
        <v>20231</v>
      </c>
      <c r="E11" s="4">
        <f>526+23546</f>
        <v>24072</v>
      </c>
      <c r="F11" s="17">
        <v>27644</v>
      </c>
      <c r="G11" s="7">
        <f>(1036+36595)/8</f>
        <v>4703.875</v>
      </c>
      <c r="H11" s="7">
        <f>(25180+157847)/83</f>
        <v>2205.144578313253</v>
      </c>
      <c r="J11" s="3" t="s">
        <v>119</v>
      </c>
      <c r="K11" s="3">
        <f>50+702</f>
        <v>752</v>
      </c>
      <c r="L11" s="3">
        <f>50+853</f>
        <v>903</v>
      </c>
      <c r="M11" s="3">
        <f>50+1099</f>
        <v>1149</v>
      </c>
      <c r="N11" s="4">
        <f>50+1248</f>
        <v>1298</v>
      </c>
      <c r="O11" s="17">
        <v>1406</v>
      </c>
      <c r="P11" s="7">
        <f>(1036+36595)/8</f>
        <v>4703.875</v>
      </c>
      <c r="Q11" s="7">
        <f>(25180+157847)/83</f>
        <v>2205.144578313253</v>
      </c>
      <c r="S11" s="3" t="s">
        <v>119</v>
      </c>
      <c r="T11" s="3">
        <f>17+981</f>
        <v>998</v>
      </c>
      <c r="U11" s="3">
        <f>17+1234</f>
        <v>1251</v>
      </c>
      <c r="V11" s="3">
        <f>17+1557</f>
        <v>1574</v>
      </c>
      <c r="W11" s="4">
        <f>17+1748</f>
        <v>1765</v>
      </c>
      <c r="X11" s="17">
        <v>2114</v>
      </c>
      <c r="Y11" s="7">
        <f>(1036+36595)/8</f>
        <v>4703.875</v>
      </c>
      <c r="Z11" s="7">
        <f>(25180+157847)/83</f>
        <v>2205.144578313253</v>
      </c>
      <c r="AB11" s="4"/>
      <c r="AC11" s="10"/>
      <c r="AD11" s="10"/>
      <c r="AE11" s="10"/>
      <c r="AF11" s="10"/>
    </row>
    <row r="12" spans="1:32" ht="12.75">
      <c r="A12" s="2" t="s">
        <v>7</v>
      </c>
      <c r="B12" s="3">
        <v>270560</v>
      </c>
      <c r="C12" s="3">
        <v>296123</v>
      </c>
      <c r="D12" s="3">
        <v>318619</v>
      </c>
      <c r="E12" s="4">
        <v>367048</v>
      </c>
      <c r="F12" s="17">
        <v>380046</v>
      </c>
      <c r="G12" s="7">
        <f>542410/8</f>
        <v>67801.25</v>
      </c>
      <c r="H12" s="7">
        <f>2162472/83</f>
        <v>26053.87951807229</v>
      </c>
      <c r="J12" s="3" t="s">
        <v>7</v>
      </c>
      <c r="K12" s="3">
        <v>11661</v>
      </c>
      <c r="L12" s="3">
        <v>13280</v>
      </c>
      <c r="M12" s="3">
        <v>16453</v>
      </c>
      <c r="N12" s="4">
        <v>19038</v>
      </c>
      <c r="O12" s="17">
        <v>21694</v>
      </c>
      <c r="P12" s="7">
        <f>542410/8</f>
        <v>67801.25</v>
      </c>
      <c r="Q12" s="7">
        <f>2162472/83</f>
        <v>26053.87951807229</v>
      </c>
      <c r="S12" s="3" t="s">
        <v>7</v>
      </c>
      <c r="T12" s="3">
        <v>17403</v>
      </c>
      <c r="U12" s="3">
        <v>20599</v>
      </c>
      <c r="V12" s="3">
        <v>25311</v>
      </c>
      <c r="W12" s="4">
        <v>28930</v>
      </c>
      <c r="X12" s="17">
        <v>34025</v>
      </c>
      <c r="Y12" s="7">
        <f>542410/8</f>
        <v>67801.25</v>
      </c>
      <c r="Z12" s="7">
        <f>2162472/83</f>
        <v>26053.87951807229</v>
      </c>
      <c r="AB12" s="4"/>
      <c r="AC12" s="10"/>
      <c r="AD12" s="10"/>
      <c r="AE12" s="10"/>
      <c r="AF12" s="10"/>
    </row>
    <row r="13" spans="1:32" ht="12.75">
      <c r="A13" s="2" t="s">
        <v>8</v>
      </c>
      <c r="B13" s="3">
        <v>145142</v>
      </c>
      <c r="C13" s="3">
        <v>172348</v>
      </c>
      <c r="D13" s="3">
        <v>185676</v>
      </c>
      <c r="E13" s="4">
        <v>197098</v>
      </c>
      <c r="F13" s="17">
        <v>162534</v>
      </c>
      <c r="G13" s="7">
        <f>224945/8</f>
        <v>28118.125</v>
      </c>
      <c r="H13" s="7">
        <f>866961/83</f>
        <v>10445.313253012047</v>
      </c>
      <c r="J13" s="3" t="s">
        <v>8</v>
      </c>
      <c r="K13" s="3">
        <v>6305</v>
      </c>
      <c r="L13" s="3">
        <v>7682</v>
      </c>
      <c r="M13" s="3">
        <v>8443</v>
      </c>
      <c r="N13" s="4">
        <v>8362</v>
      </c>
      <c r="O13" s="17">
        <v>7932</v>
      </c>
      <c r="P13" s="7">
        <f>224945/8</f>
        <v>28118.125</v>
      </c>
      <c r="Q13" s="7">
        <f>866961/83</f>
        <v>10445.313253012047</v>
      </c>
      <c r="S13" s="3" t="s">
        <v>8</v>
      </c>
      <c r="T13" s="3">
        <v>9828</v>
      </c>
      <c r="U13" s="3">
        <v>12519</v>
      </c>
      <c r="V13" s="3">
        <v>14532</v>
      </c>
      <c r="W13" s="4">
        <v>14559</v>
      </c>
      <c r="X13" s="17">
        <v>14256</v>
      </c>
      <c r="Y13" s="7">
        <f>224945/8</f>
        <v>28118.125</v>
      </c>
      <c r="Z13" s="7">
        <f>866961/83</f>
        <v>10445.313253012047</v>
      </c>
      <c r="AB13" s="4"/>
      <c r="AC13" s="10"/>
      <c r="AD13" s="10"/>
      <c r="AE13" s="10"/>
      <c r="AF13" s="10"/>
    </row>
    <row r="14" spans="1:32" ht="12.75">
      <c r="A14" s="2" t="s">
        <v>9</v>
      </c>
      <c r="B14" s="3">
        <v>120806</v>
      </c>
      <c r="C14" s="3">
        <v>137758</v>
      </c>
      <c r="D14" s="3">
        <v>157934</v>
      </c>
      <c r="E14" s="4">
        <v>202374</v>
      </c>
      <c r="F14" s="17">
        <v>261642</v>
      </c>
      <c r="G14" s="7">
        <f>371519/8</f>
        <v>46439.875</v>
      </c>
      <c r="H14" s="7">
        <f>1515667/83</f>
        <v>18261.048192771083</v>
      </c>
      <c r="J14" s="3" t="s">
        <v>9</v>
      </c>
      <c r="K14" s="3">
        <v>5883</v>
      </c>
      <c r="L14" s="3">
        <v>6773</v>
      </c>
      <c r="M14" s="3">
        <v>8597</v>
      </c>
      <c r="N14" s="4">
        <v>12036</v>
      </c>
      <c r="O14" s="17">
        <v>15896</v>
      </c>
      <c r="P14" s="7">
        <f>371519/8</f>
        <v>46439.875</v>
      </c>
      <c r="Q14" s="7">
        <f>1515667/83</f>
        <v>18261.048192771083</v>
      </c>
      <c r="S14" s="3" t="s">
        <v>9</v>
      </c>
      <c r="T14" s="3">
        <v>8423</v>
      </c>
      <c r="U14" s="3">
        <v>9663</v>
      </c>
      <c r="V14" s="3">
        <v>11814</v>
      </c>
      <c r="W14" s="4">
        <v>15600</v>
      </c>
      <c r="X14" s="17">
        <v>20863</v>
      </c>
      <c r="Y14" s="7">
        <f>371519/8</f>
        <v>46439.875</v>
      </c>
      <c r="Z14" s="7">
        <f>1515667/83</f>
        <v>18261.048192771083</v>
      </c>
      <c r="AB14" s="4"/>
      <c r="AC14" s="10"/>
      <c r="AD14" s="10"/>
      <c r="AE14" s="10"/>
      <c r="AF14" s="10"/>
    </row>
    <row r="15" spans="1:32" ht="12.75">
      <c r="A15" s="2"/>
      <c r="B15" s="3"/>
      <c r="C15" s="3"/>
      <c r="D15" s="3"/>
      <c r="E15" s="4"/>
      <c r="F15" s="17"/>
      <c r="G15" s="7"/>
      <c r="H15" s="7"/>
      <c r="J15" s="3"/>
      <c r="K15" s="3"/>
      <c r="L15" s="3"/>
      <c r="M15" s="3"/>
      <c r="N15" s="4"/>
      <c r="O15" s="17"/>
      <c r="P15" s="7"/>
      <c r="Q15" s="7"/>
      <c r="S15" s="3"/>
      <c r="T15" s="3"/>
      <c r="U15" s="3"/>
      <c r="V15" s="3"/>
      <c r="W15" s="4"/>
      <c r="X15" s="17"/>
      <c r="Y15" s="7"/>
      <c r="Z15" s="7"/>
      <c r="AB15" s="4"/>
      <c r="AC15" s="10"/>
      <c r="AD15" s="10"/>
      <c r="AE15" s="10"/>
      <c r="AF15" s="10"/>
    </row>
    <row r="16" spans="1:32" ht="12.75">
      <c r="A16" s="2" t="s">
        <v>10</v>
      </c>
      <c r="B16" s="3">
        <v>29810</v>
      </c>
      <c r="C16" s="4">
        <v>31087</v>
      </c>
      <c r="D16" s="4">
        <v>30460</v>
      </c>
      <c r="E16" s="4">
        <v>32428</v>
      </c>
      <c r="F16" s="17">
        <v>35795</v>
      </c>
      <c r="G16" s="7">
        <f>49116/8</f>
        <v>6139.5</v>
      </c>
      <c r="H16" s="7">
        <f>184377/83</f>
        <v>2221.409638554217</v>
      </c>
      <c r="J16" s="3" t="s">
        <v>10</v>
      </c>
      <c r="K16" s="4">
        <v>1357</v>
      </c>
      <c r="L16" s="4">
        <v>1438</v>
      </c>
      <c r="M16" s="4">
        <v>1574</v>
      </c>
      <c r="N16" s="4">
        <v>1741</v>
      </c>
      <c r="O16" s="17">
        <v>1966</v>
      </c>
      <c r="P16" s="7">
        <f>49116/8</f>
        <v>6139.5</v>
      </c>
      <c r="Q16" s="7">
        <f>184377/83</f>
        <v>2221.409638554217</v>
      </c>
      <c r="S16" s="3" t="s">
        <v>10</v>
      </c>
      <c r="T16" s="4">
        <v>1918</v>
      </c>
      <c r="U16" s="4">
        <v>2067</v>
      </c>
      <c r="V16" s="4">
        <v>2213</v>
      </c>
      <c r="W16" s="4">
        <v>2325</v>
      </c>
      <c r="X16" s="17">
        <v>2749</v>
      </c>
      <c r="Y16" s="7">
        <f>49116/8</f>
        <v>6139.5</v>
      </c>
      <c r="Z16" s="7">
        <f>184377/83</f>
        <v>2221.409638554217</v>
      </c>
      <c r="AB16" s="4"/>
      <c r="AC16" s="10"/>
      <c r="AD16" s="10"/>
      <c r="AE16" s="10"/>
      <c r="AF16" s="10"/>
    </row>
    <row r="17" spans="1:32" ht="12.75">
      <c r="A17" s="2" t="s">
        <v>11</v>
      </c>
      <c r="B17" s="3">
        <v>4174</v>
      </c>
      <c r="C17" s="4">
        <v>5740</v>
      </c>
      <c r="D17" s="4">
        <v>7612</v>
      </c>
      <c r="E17" s="4">
        <v>7120</v>
      </c>
      <c r="F17" s="17">
        <v>7389</v>
      </c>
      <c r="G17" s="7">
        <f>9794/8</f>
        <v>1224.25</v>
      </c>
      <c r="H17" s="7">
        <f>37693/83</f>
        <v>454.13253012048193</v>
      </c>
      <c r="J17" s="3" t="s">
        <v>11</v>
      </c>
      <c r="K17" s="4">
        <v>301</v>
      </c>
      <c r="L17" s="4">
        <v>340</v>
      </c>
      <c r="M17" s="4">
        <v>491</v>
      </c>
      <c r="N17" s="4">
        <v>483</v>
      </c>
      <c r="O17" s="17">
        <v>359</v>
      </c>
      <c r="P17" s="7">
        <f>9794/8</f>
        <v>1224.25</v>
      </c>
      <c r="Q17" s="7">
        <f>37693/83</f>
        <v>454.13253012048193</v>
      </c>
      <c r="S17" s="3" t="s">
        <v>11</v>
      </c>
      <c r="T17" s="4">
        <v>365</v>
      </c>
      <c r="U17" s="4">
        <v>462</v>
      </c>
      <c r="V17" s="4">
        <v>707</v>
      </c>
      <c r="W17" s="4">
        <v>422</v>
      </c>
      <c r="X17" s="17">
        <v>590</v>
      </c>
      <c r="Y17" s="7">
        <f>9794/8</f>
        <v>1224.25</v>
      </c>
      <c r="Z17" s="7">
        <f>37693/83</f>
        <v>454.13253012048193</v>
      </c>
      <c r="AB17" s="4"/>
      <c r="AC17" s="10"/>
      <c r="AD17" s="10"/>
      <c r="AE17" s="10"/>
      <c r="AF17" s="10"/>
    </row>
    <row r="18" spans="1:32" ht="12.75">
      <c r="A18" s="2" t="s">
        <v>12</v>
      </c>
      <c r="B18" s="3">
        <v>20729</v>
      </c>
      <c r="C18" s="4">
        <v>21109</v>
      </c>
      <c r="D18" s="4">
        <v>19274</v>
      </c>
      <c r="E18" s="4">
        <v>18483</v>
      </c>
      <c r="F18" s="17">
        <v>20159</v>
      </c>
      <c r="G18" s="7">
        <f>27809/8</f>
        <v>3476.125</v>
      </c>
      <c r="H18" s="7">
        <f>106836/83</f>
        <v>1287.1807228915663</v>
      </c>
      <c r="J18" s="3" t="s">
        <v>12</v>
      </c>
      <c r="K18" s="4">
        <v>867</v>
      </c>
      <c r="L18" s="4">
        <v>887</v>
      </c>
      <c r="M18" s="4">
        <v>857</v>
      </c>
      <c r="N18" s="4">
        <v>872</v>
      </c>
      <c r="O18" s="17">
        <v>973</v>
      </c>
      <c r="P18" s="7">
        <f>27809/8</f>
        <v>3476.125</v>
      </c>
      <c r="Q18" s="7">
        <f>106836/83</f>
        <v>1287.1807228915663</v>
      </c>
      <c r="S18" s="3" t="s">
        <v>12</v>
      </c>
      <c r="T18" s="4">
        <v>1269</v>
      </c>
      <c r="U18" s="4">
        <v>1320</v>
      </c>
      <c r="V18" s="4">
        <v>1372</v>
      </c>
      <c r="W18" s="4">
        <v>1363</v>
      </c>
      <c r="X18" s="17">
        <v>1655</v>
      </c>
      <c r="Y18" s="7">
        <f>27809/8</f>
        <v>3476.125</v>
      </c>
      <c r="Z18" s="7">
        <f>106836/83</f>
        <v>1287.1807228915663</v>
      </c>
      <c r="AB18" s="4"/>
      <c r="AC18" s="10"/>
      <c r="AD18" s="10"/>
      <c r="AE18" s="10"/>
      <c r="AF18" s="10"/>
    </row>
    <row r="19" spans="1:32" ht="12.75">
      <c r="A19" s="2" t="s">
        <v>13</v>
      </c>
      <c r="B19" s="3">
        <v>7211</v>
      </c>
      <c r="C19" s="4">
        <v>7942</v>
      </c>
      <c r="D19" s="4">
        <v>9245</v>
      </c>
      <c r="E19" s="4">
        <v>10074</v>
      </c>
      <c r="F19" s="17">
        <v>11725</v>
      </c>
      <c r="G19" s="7">
        <f>15771/8</f>
        <v>1971.375</v>
      </c>
      <c r="H19" s="7">
        <f>58664/83</f>
        <v>706.7951807228916</v>
      </c>
      <c r="J19" s="3" t="s">
        <v>13</v>
      </c>
      <c r="K19" s="4">
        <v>400</v>
      </c>
      <c r="L19" s="4">
        <v>450</v>
      </c>
      <c r="M19" s="4">
        <v>527</v>
      </c>
      <c r="N19" s="4">
        <v>622</v>
      </c>
      <c r="O19" s="17">
        <v>760</v>
      </c>
      <c r="P19" s="7">
        <f>15771/8</f>
        <v>1971.375</v>
      </c>
      <c r="Q19" s="7">
        <f>58664/83</f>
        <v>706.7951807228916</v>
      </c>
      <c r="S19" s="3" t="s">
        <v>13</v>
      </c>
      <c r="T19" s="4">
        <v>415</v>
      </c>
      <c r="U19" s="4">
        <v>451</v>
      </c>
      <c r="V19" s="4">
        <v>535</v>
      </c>
      <c r="W19" s="4">
        <v>671</v>
      </c>
      <c r="X19" s="17">
        <v>816</v>
      </c>
      <c r="Y19" s="7">
        <f>15771/8</f>
        <v>1971.375</v>
      </c>
      <c r="Z19" s="7">
        <f>58664/83</f>
        <v>706.7951807228916</v>
      </c>
      <c r="AB19" s="4"/>
      <c r="AC19" s="10"/>
      <c r="AD19" s="10"/>
      <c r="AE19" s="10"/>
      <c r="AF19" s="10"/>
    </row>
    <row r="20" spans="1:32" ht="12.75">
      <c r="A20" s="2"/>
      <c r="B20" s="3"/>
      <c r="C20" s="3"/>
      <c r="D20" s="3"/>
      <c r="E20" s="4"/>
      <c r="F20" s="17"/>
      <c r="G20" s="3"/>
      <c r="H20" s="3"/>
      <c r="J20" s="3"/>
      <c r="K20" s="3"/>
      <c r="L20" s="3"/>
      <c r="M20" s="3"/>
      <c r="N20" s="4"/>
      <c r="O20" s="17"/>
      <c r="P20" s="3"/>
      <c r="Q20" s="3"/>
      <c r="S20" s="3"/>
      <c r="T20" s="3"/>
      <c r="U20" s="3"/>
      <c r="V20" s="3"/>
      <c r="W20" s="4"/>
      <c r="X20" s="17"/>
      <c r="Y20" s="3"/>
      <c r="Z20" s="3"/>
      <c r="AB20" s="4"/>
      <c r="AC20" s="4"/>
      <c r="AD20" s="4"/>
      <c r="AE20" s="4"/>
      <c r="AF20" s="4"/>
    </row>
    <row r="21" spans="1:32" ht="12.75">
      <c r="A21" s="48" t="s">
        <v>115</v>
      </c>
      <c r="B21" s="6">
        <v>7.47</v>
      </c>
      <c r="C21" s="5">
        <v>6.96</v>
      </c>
      <c r="D21" s="5">
        <v>5.74</v>
      </c>
      <c r="E21" s="5">
        <v>4.9</v>
      </c>
      <c r="F21" s="18">
        <v>4.74</v>
      </c>
      <c r="G21" s="6">
        <v>4.74</v>
      </c>
      <c r="H21" s="5">
        <v>4.35</v>
      </c>
      <c r="I21" s="6"/>
      <c r="J21" s="6" t="s">
        <v>14</v>
      </c>
      <c r="K21" s="5">
        <v>7.61</v>
      </c>
      <c r="L21" s="5">
        <v>6.88</v>
      </c>
      <c r="M21" s="5">
        <v>5.68</v>
      </c>
      <c r="N21" s="5">
        <v>4.8</v>
      </c>
      <c r="O21" s="18">
        <v>4.46</v>
      </c>
      <c r="P21" s="6">
        <v>4.74</v>
      </c>
      <c r="Q21" s="5">
        <v>4.35</v>
      </c>
      <c r="R21" s="6"/>
      <c r="S21" s="6" t="s">
        <v>14</v>
      </c>
      <c r="T21" s="5">
        <v>7.61</v>
      </c>
      <c r="U21" s="5">
        <v>6.7</v>
      </c>
      <c r="V21" s="5">
        <v>5.81</v>
      </c>
      <c r="W21" s="5">
        <v>4.87</v>
      </c>
      <c r="X21" s="18">
        <v>4.99</v>
      </c>
      <c r="Y21" s="6">
        <v>4.74</v>
      </c>
      <c r="Z21" s="5">
        <v>4.35</v>
      </c>
      <c r="AA21" s="6"/>
      <c r="AB21" s="5"/>
      <c r="AC21" s="5"/>
      <c r="AD21" s="5"/>
      <c r="AE21" s="5"/>
      <c r="AF21" s="4"/>
    </row>
    <row r="22" spans="1:32" ht="12.75">
      <c r="A22" s="48" t="s">
        <v>116</v>
      </c>
      <c r="B22" s="6">
        <v>1.97</v>
      </c>
      <c r="C22" s="5">
        <v>1.73</v>
      </c>
      <c r="D22" s="5">
        <v>1.88</v>
      </c>
      <c r="E22" s="5">
        <v>2.34</v>
      </c>
      <c r="F22" s="18">
        <v>2.89</v>
      </c>
      <c r="G22" s="6">
        <v>3.04</v>
      </c>
      <c r="H22" s="5">
        <v>3.79</v>
      </c>
      <c r="I22" s="6"/>
      <c r="J22" s="6" t="s">
        <v>18</v>
      </c>
      <c r="K22" s="5">
        <v>3.3</v>
      </c>
      <c r="L22" s="5">
        <v>3.41</v>
      </c>
      <c r="M22" s="5">
        <v>3.32</v>
      </c>
      <c r="N22" s="5">
        <v>3.92</v>
      </c>
      <c r="O22" s="18">
        <v>4.12</v>
      </c>
      <c r="P22" s="6">
        <v>3.04</v>
      </c>
      <c r="Q22" s="5">
        <v>3.79</v>
      </c>
      <c r="R22" s="6"/>
      <c r="S22" s="6" t="s">
        <v>18</v>
      </c>
      <c r="T22" s="5">
        <v>3.46</v>
      </c>
      <c r="U22" s="5">
        <v>3.35</v>
      </c>
      <c r="V22" s="5">
        <v>3.12</v>
      </c>
      <c r="W22" s="5">
        <v>3.22</v>
      </c>
      <c r="X22" s="18">
        <v>3.16</v>
      </c>
      <c r="Y22" s="6">
        <v>3.04</v>
      </c>
      <c r="Z22" s="5">
        <v>3.79</v>
      </c>
      <c r="AA22" s="6"/>
      <c r="AB22" s="5"/>
      <c r="AC22" s="5"/>
      <c r="AD22" s="5"/>
      <c r="AE22" s="5"/>
      <c r="AF22" s="4"/>
    </row>
    <row r="23" spans="1:32" ht="12.75">
      <c r="A23" s="48" t="s">
        <v>54</v>
      </c>
      <c r="B23" s="6">
        <v>18.44</v>
      </c>
      <c r="C23" s="5">
        <v>19.58</v>
      </c>
      <c r="D23" s="5">
        <v>22.61</v>
      </c>
      <c r="E23" s="5">
        <v>24.19</v>
      </c>
      <c r="F23" s="18">
        <v>25.48</v>
      </c>
      <c r="G23" s="6">
        <v>24.47</v>
      </c>
      <c r="H23" s="5">
        <v>20.17</v>
      </c>
      <c r="I23" s="6"/>
      <c r="J23" s="6" t="s">
        <v>54</v>
      </c>
      <c r="K23" s="5">
        <v>22.8</v>
      </c>
      <c r="L23" s="5">
        <v>23.91</v>
      </c>
      <c r="M23" s="5">
        <v>26.06</v>
      </c>
      <c r="N23" s="5">
        <v>27.79</v>
      </c>
      <c r="O23" s="18">
        <v>28.52</v>
      </c>
      <c r="P23" s="6">
        <v>24.47</v>
      </c>
      <c r="Q23" s="5">
        <v>20.17</v>
      </c>
      <c r="R23" s="6"/>
      <c r="S23" s="6" t="s">
        <v>54</v>
      </c>
      <c r="T23" s="5">
        <v>16.82</v>
      </c>
      <c r="U23" s="5">
        <v>17.32</v>
      </c>
      <c r="V23" s="5">
        <v>17.91</v>
      </c>
      <c r="W23" s="5">
        <v>19.53</v>
      </c>
      <c r="X23" s="18">
        <v>21.51</v>
      </c>
      <c r="Y23" s="6">
        <v>24.47</v>
      </c>
      <c r="Z23" s="5">
        <v>20.17</v>
      </c>
      <c r="AA23" s="6"/>
      <c r="AB23" s="5"/>
      <c r="AC23" s="5"/>
      <c r="AD23" s="5"/>
      <c r="AE23" s="5"/>
      <c r="AF23" s="4"/>
    </row>
    <row r="24" spans="1:32" ht="12.75">
      <c r="A24" s="48"/>
      <c r="B24" s="6"/>
      <c r="C24" s="6"/>
      <c r="D24" s="6"/>
      <c r="E24" s="5"/>
      <c r="F24" s="18"/>
      <c r="G24" s="6"/>
      <c r="H24" s="6"/>
      <c r="I24" s="6"/>
      <c r="J24" s="6"/>
      <c r="K24" s="6"/>
      <c r="L24" s="6"/>
      <c r="M24" s="6"/>
      <c r="N24" s="5"/>
      <c r="O24" s="18"/>
      <c r="P24" s="6"/>
      <c r="Q24" s="6"/>
      <c r="R24" s="6"/>
      <c r="S24" s="6"/>
      <c r="T24" s="6"/>
      <c r="U24" s="6"/>
      <c r="V24" s="6"/>
      <c r="W24" s="5"/>
      <c r="X24" s="18"/>
      <c r="Y24" s="6"/>
      <c r="Z24" s="6"/>
      <c r="AA24" s="6"/>
      <c r="AB24" s="5"/>
      <c r="AC24" s="5"/>
      <c r="AD24" s="5"/>
      <c r="AE24" s="5"/>
      <c r="AF24" s="4"/>
    </row>
    <row r="25" spans="1:32" ht="12.75">
      <c r="A25" s="48" t="s">
        <v>15</v>
      </c>
      <c r="B25" s="6">
        <v>0.7</v>
      </c>
      <c r="C25" s="5">
        <v>0.86</v>
      </c>
      <c r="D25" s="5">
        <v>0.94</v>
      </c>
      <c r="E25" s="5">
        <v>0.99</v>
      </c>
      <c r="F25" s="18">
        <v>0.89</v>
      </c>
      <c r="G25" s="5">
        <v>0.87</v>
      </c>
      <c r="H25" s="5">
        <v>1</v>
      </c>
      <c r="I25" s="6"/>
      <c r="J25" s="6" t="s">
        <v>15</v>
      </c>
      <c r="K25" s="5">
        <v>1.06</v>
      </c>
      <c r="L25" s="5">
        <v>1.13</v>
      </c>
      <c r="M25" s="5">
        <v>1.49</v>
      </c>
      <c r="N25" s="5">
        <v>0.88</v>
      </c>
      <c r="O25" s="18">
        <v>0.53</v>
      </c>
      <c r="P25" s="5">
        <v>0.87</v>
      </c>
      <c r="Q25" s="5">
        <v>1</v>
      </c>
      <c r="R25" s="6"/>
      <c r="S25" s="6" t="s">
        <v>15</v>
      </c>
      <c r="T25" s="5">
        <v>1.02</v>
      </c>
      <c r="U25" s="5">
        <v>1.15</v>
      </c>
      <c r="V25" s="5">
        <v>1.25</v>
      </c>
      <c r="W25" s="5">
        <v>0.79</v>
      </c>
      <c r="X25" s="18">
        <v>1.13</v>
      </c>
      <c r="Y25" s="5">
        <v>0.87</v>
      </c>
      <c r="Z25" s="5">
        <v>1</v>
      </c>
      <c r="AA25" s="6"/>
      <c r="AB25" s="5"/>
      <c r="AC25" s="5"/>
      <c r="AD25" s="5"/>
      <c r="AE25" s="5"/>
      <c r="AF25" s="4"/>
    </row>
    <row r="26" spans="1:32" ht="12.75">
      <c r="A26" s="48" t="s">
        <v>16</v>
      </c>
      <c r="B26" s="6">
        <v>13.35</v>
      </c>
      <c r="C26" s="5">
        <v>13.5</v>
      </c>
      <c r="D26" s="5">
        <v>13.53</v>
      </c>
      <c r="E26" s="5">
        <v>12.45</v>
      </c>
      <c r="F26" s="18">
        <v>11.88</v>
      </c>
      <c r="G26" s="5">
        <v>11.53</v>
      </c>
      <c r="H26" s="6">
        <v>12.24</v>
      </c>
      <c r="I26" s="6"/>
      <c r="J26" s="6" t="s">
        <v>16</v>
      </c>
      <c r="K26" s="5">
        <v>12.26</v>
      </c>
      <c r="L26" s="5">
        <v>13.08</v>
      </c>
      <c r="M26" s="5">
        <v>12.93</v>
      </c>
      <c r="N26" s="5">
        <v>12.6</v>
      </c>
      <c r="O26" s="18">
        <v>12.08</v>
      </c>
      <c r="P26" s="5">
        <v>11.53</v>
      </c>
      <c r="Q26" s="6">
        <v>12.24</v>
      </c>
      <c r="R26" s="6"/>
      <c r="S26" s="6" t="s">
        <v>16</v>
      </c>
      <c r="T26" s="5">
        <v>13.67</v>
      </c>
      <c r="U26" s="5">
        <v>14.91</v>
      </c>
      <c r="V26" s="5">
        <v>14.29</v>
      </c>
      <c r="W26" s="5">
        <v>11.74</v>
      </c>
      <c r="X26" s="18">
        <v>12.08</v>
      </c>
      <c r="Y26" s="5">
        <v>11.53</v>
      </c>
      <c r="Z26" s="6">
        <v>12.24</v>
      </c>
      <c r="AA26" s="6"/>
      <c r="AB26" s="5"/>
      <c r="AC26" s="5"/>
      <c r="AD26" s="5"/>
      <c r="AE26" s="5"/>
      <c r="AF26" s="4"/>
    </row>
    <row r="27" spans="1:32" ht="12.75">
      <c r="A27" s="48" t="s">
        <v>17</v>
      </c>
      <c r="B27" s="6">
        <v>5.63</v>
      </c>
      <c r="C27" s="6">
        <v>4.5</v>
      </c>
      <c r="D27" s="6">
        <v>3.48</v>
      </c>
      <c r="E27" s="5">
        <v>2.65</v>
      </c>
      <c r="F27" s="18">
        <v>1.87</v>
      </c>
      <c r="G27" s="6">
        <v>1.39</v>
      </c>
      <c r="H27" s="5">
        <v>1.22</v>
      </c>
      <c r="I27" s="6"/>
      <c r="J27" s="6" t="s">
        <v>17</v>
      </c>
      <c r="K27" s="6">
        <v>4.96</v>
      </c>
      <c r="L27" s="6">
        <v>4.13</v>
      </c>
      <c r="M27" s="6">
        <v>1.24</v>
      </c>
      <c r="N27" s="5">
        <v>1.61</v>
      </c>
      <c r="O27" s="18">
        <v>1.18</v>
      </c>
      <c r="P27" s="6">
        <v>1.39</v>
      </c>
      <c r="Q27" s="5">
        <v>1.22</v>
      </c>
      <c r="R27" s="6"/>
      <c r="S27" s="6" t="s">
        <v>17</v>
      </c>
      <c r="T27" s="6">
        <v>4.97</v>
      </c>
      <c r="U27" s="6">
        <v>3.25</v>
      </c>
      <c r="V27" s="6">
        <v>0.65</v>
      </c>
      <c r="W27" s="5">
        <v>0.61</v>
      </c>
      <c r="X27" s="18">
        <v>0.36</v>
      </c>
      <c r="Y27" s="6">
        <v>1.39</v>
      </c>
      <c r="Z27" s="5">
        <v>1.22</v>
      </c>
      <c r="AA27" s="6"/>
      <c r="AB27" s="5"/>
      <c r="AC27" s="5"/>
      <c r="AD27" s="5"/>
      <c r="AE27" s="5"/>
      <c r="AF27" s="4"/>
    </row>
    <row r="28" spans="1:32" ht="12.75">
      <c r="A28" s="3"/>
      <c r="B28" s="3"/>
      <c r="C28" s="3"/>
      <c r="D28" s="3"/>
      <c r="E28" s="3"/>
      <c r="F28" s="3"/>
      <c r="G28" s="3"/>
      <c r="H28" s="3"/>
      <c r="J28" s="3"/>
      <c r="K28" s="3"/>
      <c r="L28" s="3"/>
      <c r="M28" s="3"/>
      <c r="N28" s="3"/>
      <c r="O28" s="3"/>
      <c r="P28" s="3"/>
      <c r="Q28" s="3"/>
      <c r="S28" s="3"/>
      <c r="T28" s="3"/>
      <c r="U28" s="3"/>
      <c r="V28" s="3"/>
      <c r="W28" s="3"/>
      <c r="X28" s="3"/>
      <c r="Y28" s="3"/>
      <c r="Z28" s="3"/>
      <c r="AB28" s="4"/>
      <c r="AC28" s="4"/>
      <c r="AD28" s="4"/>
      <c r="AE28" s="4"/>
      <c r="AF28" s="3"/>
    </row>
    <row r="29" spans="1:26" ht="12.75">
      <c r="A29" s="26" t="s">
        <v>112</v>
      </c>
      <c r="B29" s="27"/>
      <c r="C29" s="27"/>
      <c r="D29" s="27"/>
      <c r="E29" s="27"/>
      <c r="F29" s="27"/>
      <c r="G29" s="26" t="s">
        <v>58</v>
      </c>
      <c r="H29" s="27"/>
      <c r="J29" s="26" t="s">
        <v>112</v>
      </c>
      <c r="K29" s="27"/>
      <c r="L29" s="27"/>
      <c r="M29" s="27"/>
      <c r="N29" s="27"/>
      <c r="O29" s="27"/>
      <c r="P29" s="26" t="s">
        <v>59</v>
      </c>
      <c r="Q29" s="27"/>
      <c r="S29" s="26" t="s">
        <v>112</v>
      </c>
      <c r="T29" s="27"/>
      <c r="U29" s="27"/>
      <c r="V29" s="27"/>
      <c r="W29" s="27"/>
      <c r="X29" s="27"/>
      <c r="Y29" s="26" t="s">
        <v>60</v>
      </c>
      <c r="Z29" s="27"/>
    </row>
    <row r="30" spans="1:32" ht="12.75">
      <c r="A30" s="3"/>
      <c r="B30" s="3"/>
      <c r="C30" s="3"/>
      <c r="D30" s="3"/>
      <c r="E30" s="3"/>
      <c r="F30" s="3"/>
      <c r="H30" s="36" t="s">
        <v>19</v>
      </c>
      <c r="J30" s="3"/>
      <c r="K30" s="3"/>
      <c r="L30" s="3"/>
      <c r="M30" s="3"/>
      <c r="N30" s="3"/>
      <c r="O30" s="3"/>
      <c r="Q30" s="36" t="s">
        <v>19</v>
      </c>
      <c r="S30" s="3"/>
      <c r="T30" s="3"/>
      <c r="U30" s="3"/>
      <c r="V30" s="3"/>
      <c r="W30" s="3"/>
      <c r="X30" s="3"/>
      <c r="Z30" s="36" t="s">
        <v>19</v>
      </c>
      <c r="AB30" s="3"/>
      <c r="AC30" s="3"/>
      <c r="AD30" s="3"/>
      <c r="AE30" s="3"/>
      <c r="AF30" s="3"/>
    </row>
    <row r="31" spans="1:26" ht="12.75">
      <c r="A31" s="32" t="s">
        <v>4</v>
      </c>
      <c r="B31" s="17" t="s">
        <v>0</v>
      </c>
      <c r="C31" s="17" t="s">
        <v>1</v>
      </c>
      <c r="D31" s="17" t="s">
        <v>2</v>
      </c>
      <c r="E31" s="17" t="s">
        <v>3</v>
      </c>
      <c r="F31" s="17" t="s">
        <v>117</v>
      </c>
      <c r="G31" s="17" t="s">
        <v>53</v>
      </c>
      <c r="H31" s="17" t="s">
        <v>111</v>
      </c>
      <c r="J31" s="17" t="s">
        <v>4</v>
      </c>
      <c r="K31" s="17" t="s">
        <v>0</v>
      </c>
      <c r="L31" s="17" t="s">
        <v>1</v>
      </c>
      <c r="M31" s="17" t="s">
        <v>2</v>
      </c>
      <c r="N31" s="17" t="s">
        <v>3</v>
      </c>
      <c r="O31" s="17" t="s">
        <v>117</v>
      </c>
      <c r="P31" s="17" t="s">
        <v>53</v>
      </c>
      <c r="Q31" s="17" t="s">
        <v>55</v>
      </c>
      <c r="S31" s="17" t="s">
        <v>4</v>
      </c>
      <c r="T31" s="17" t="s">
        <v>0</v>
      </c>
      <c r="U31" s="17" t="s">
        <v>1</v>
      </c>
      <c r="V31" s="17" t="s">
        <v>2</v>
      </c>
      <c r="W31" s="17" t="s">
        <v>3</v>
      </c>
      <c r="X31" s="17" t="s">
        <v>117</v>
      </c>
      <c r="Y31" s="17" t="s">
        <v>53</v>
      </c>
      <c r="Z31" s="17" t="s">
        <v>55</v>
      </c>
    </row>
    <row r="32" spans="1:32" ht="12.75">
      <c r="A32" s="17"/>
      <c r="B32" s="17"/>
      <c r="C32" s="17"/>
      <c r="D32" s="17"/>
      <c r="E32" s="17"/>
      <c r="F32" s="17"/>
      <c r="G32" s="28" t="s">
        <v>117</v>
      </c>
      <c r="H32" s="28" t="s">
        <v>117</v>
      </c>
      <c r="J32" s="17"/>
      <c r="K32" s="17"/>
      <c r="L32" s="17"/>
      <c r="M32" s="17"/>
      <c r="N32" s="17"/>
      <c r="O32" s="17"/>
      <c r="P32" s="28" t="s">
        <v>117</v>
      </c>
      <c r="Q32" s="28" t="s">
        <v>117</v>
      </c>
      <c r="S32" s="17"/>
      <c r="T32" s="17"/>
      <c r="U32" s="17"/>
      <c r="V32" s="17"/>
      <c r="W32" s="17"/>
      <c r="X32" s="17"/>
      <c r="Y32" s="28" t="s">
        <v>117</v>
      </c>
      <c r="Z32" s="28" t="s">
        <v>117</v>
      </c>
      <c r="AB32" s="3"/>
      <c r="AC32" s="3"/>
      <c r="AD32" s="3"/>
      <c r="AE32" s="3"/>
      <c r="AF32" s="3"/>
    </row>
    <row r="33" spans="1:26" ht="12.75">
      <c r="A33" s="2" t="s">
        <v>5</v>
      </c>
      <c r="B33" s="3">
        <v>435</v>
      </c>
      <c r="C33" s="3">
        <v>443</v>
      </c>
      <c r="D33" s="3">
        <v>451</v>
      </c>
      <c r="E33" s="4">
        <v>456</v>
      </c>
      <c r="F33" s="17">
        <v>453</v>
      </c>
      <c r="G33" s="7">
        <f>14039/8</f>
        <v>1754.875</v>
      </c>
      <c r="H33" s="7">
        <f>(14039+35356+261+6746)/83</f>
        <v>679.5421686746988</v>
      </c>
      <c r="J33" s="3" t="s">
        <v>5</v>
      </c>
      <c r="K33" s="3">
        <v>608</v>
      </c>
      <c r="L33" s="3">
        <v>614</v>
      </c>
      <c r="M33" s="3">
        <v>626</v>
      </c>
      <c r="N33" s="4">
        <v>640</v>
      </c>
      <c r="O33" s="17">
        <v>646</v>
      </c>
      <c r="P33" s="7">
        <f>14039/8</f>
        <v>1754.875</v>
      </c>
      <c r="Q33" s="7">
        <f>(14039+35356+261+6746)/83</f>
        <v>679.5421686746988</v>
      </c>
      <c r="S33" s="3" t="s">
        <v>5</v>
      </c>
      <c r="T33" s="3">
        <v>728</v>
      </c>
      <c r="U33" s="3">
        <v>742</v>
      </c>
      <c r="V33" s="3">
        <v>747</v>
      </c>
      <c r="W33" s="4">
        <v>754</v>
      </c>
      <c r="X33" s="17">
        <v>762</v>
      </c>
      <c r="Y33" s="7">
        <f>14039/8</f>
        <v>1754.875</v>
      </c>
      <c r="Z33" s="7">
        <f>(14039+35356+261+6746)/83</f>
        <v>679.5421686746988</v>
      </c>
    </row>
    <row r="34" spans="1:26" ht="12.75">
      <c r="A34" s="2" t="s">
        <v>6</v>
      </c>
      <c r="B34" s="3">
        <v>6537</v>
      </c>
      <c r="C34" s="3">
        <v>6530</v>
      </c>
      <c r="D34" s="3">
        <v>6540</v>
      </c>
      <c r="E34" s="4">
        <v>6454</v>
      </c>
      <c r="F34" s="17">
        <v>6647</v>
      </c>
      <c r="G34" s="7">
        <v>33826</v>
      </c>
      <c r="H34" s="7">
        <v>10458</v>
      </c>
      <c r="J34" s="3" t="s">
        <v>6</v>
      </c>
      <c r="K34" s="3">
        <v>9872</v>
      </c>
      <c r="L34" s="3">
        <v>9743</v>
      </c>
      <c r="M34" s="3">
        <v>9693</v>
      </c>
      <c r="N34" s="4">
        <v>9564</v>
      </c>
      <c r="O34" s="17">
        <v>9744</v>
      </c>
      <c r="P34" s="7">
        <v>33826</v>
      </c>
      <c r="Q34" s="7">
        <v>10458</v>
      </c>
      <c r="S34" s="3" t="s">
        <v>6</v>
      </c>
      <c r="T34" s="3">
        <v>11836</v>
      </c>
      <c r="U34" s="3">
        <v>11654</v>
      </c>
      <c r="V34" s="3">
        <v>11674</v>
      </c>
      <c r="W34" s="4">
        <v>11595</v>
      </c>
      <c r="X34" s="17">
        <v>11350</v>
      </c>
      <c r="Y34" s="7">
        <v>33826</v>
      </c>
      <c r="Z34" s="7">
        <v>10458</v>
      </c>
    </row>
    <row r="35" spans="1:26" ht="12.75">
      <c r="A35" s="48" t="s">
        <v>20</v>
      </c>
      <c r="B35" s="6">
        <v>171</v>
      </c>
      <c r="C35" s="6">
        <v>220.52</v>
      </c>
      <c r="D35" s="6">
        <v>230.77</v>
      </c>
      <c r="E35" s="5">
        <v>293.88</v>
      </c>
      <c r="F35" s="18">
        <v>429.32</v>
      </c>
      <c r="G35" s="6">
        <v>337.73</v>
      </c>
      <c r="H35" s="6">
        <v>423.74</v>
      </c>
      <c r="I35" s="6"/>
      <c r="J35" s="6" t="s">
        <v>20</v>
      </c>
      <c r="K35" s="6">
        <v>124.96</v>
      </c>
      <c r="L35" s="6">
        <v>146.49</v>
      </c>
      <c r="M35" s="6">
        <v>162.81</v>
      </c>
      <c r="N35" s="5">
        <v>203.54</v>
      </c>
      <c r="O35" s="18">
        <v>289.93</v>
      </c>
      <c r="P35" s="6">
        <v>337.73</v>
      </c>
      <c r="Q35" s="6">
        <v>423.74</v>
      </c>
      <c r="R35" s="6"/>
      <c r="S35" s="6" t="s">
        <v>20</v>
      </c>
      <c r="T35" s="6">
        <v>194.31</v>
      </c>
      <c r="U35" s="6">
        <v>246.37</v>
      </c>
      <c r="V35" s="6">
        <v>305.24</v>
      </c>
      <c r="W35" s="5">
        <v>361.15</v>
      </c>
      <c r="X35" s="18">
        <v>493.01</v>
      </c>
      <c r="Y35" s="6">
        <v>337.73</v>
      </c>
      <c r="Z35" s="6">
        <v>423.74</v>
      </c>
    </row>
    <row r="36" spans="1:26" ht="12.75">
      <c r="A36" s="48" t="s">
        <v>56</v>
      </c>
      <c r="B36" s="6">
        <v>1.91</v>
      </c>
      <c r="C36" s="6">
        <v>3.06</v>
      </c>
      <c r="D36" s="5">
        <v>3.45</v>
      </c>
      <c r="E36" s="5">
        <v>2.07</v>
      </c>
      <c r="F36" s="18">
        <v>2.09</v>
      </c>
      <c r="G36" s="6">
        <v>2.2</v>
      </c>
      <c r="H36" s="6">
        <v>2.84</v>
      </c>
      <c r="I36" s="6"/>
      <c r="J36" s="6" t="s">
        <v>56</v>
      </c>
      <c r="K36" s="6">
        <v>0.67</v>
      </c>
      <c r="L36" s="6">
        <v>1.19</v>
      </c>
      <c r="M36" s="5">
        <v>1.82</v>
      </c>
      <c r="N36" s="5">
        <v>2.16</v>
      </c>
      <c r="O36" s="18">
        <v>2.22</v>
      </c>
      <c r="P36" s="6">
        <v>2.2</v>
      </c>
      <c r="Q36" s="6">
        <v>2.84</v>
      </c>
      <c r="R36" s="6"/>
      <c r="S36" s="6" t="s">
        <v>56</v>
      </c>
      <c r="T36" s="6">
        <v>1.97</v>
      </c>
      <c r="U36" s="6">
        <v>2.76</v>
      </c>
      <c r="V36" s="5">
        <v>3.69</v>
      </c>
      <c r="W36" s="5">
        <v>2.48</v>
      </c>
      <c r="X36" s="18">
        <v>2.66</v>
      </c>
      <c r="Y36" s="6">
        <v>2.2</v>
      </c>
      <c r="Z36" s="6">
        <v>2.84</v>
      </c>
    </row>
    <row r="37" spans="1:26" ht="12.75">
      <c r="A37" s="2"/>
      <c r="B37" s="3"/>
      <c r="C37" s="3"/>
      <c r="D37" s="3"/>
      <c r="E37" s="4"/>
      <c r="F37" s="17"/>
      <c r="G37" s="3"/>
      <c r="H37" s="3"/>
      <c r="J37" s="3"/>
      <c r="K37" s="3"/>
      <c r="L37" s="3"/>
      <c r="M37" s="3"/>
      <c r="N37" s="4"/>
      <c r="O37" s="17"/>
      <c r="P37" s="3"/>
      <c r="Q37" s="3"/>
      <c r="S37" s="3"/>
      <c r="T37" s="3"/>
      <c r="U37" s="3"/>
      <c r="V37" s="3"/>
      <c r="W37" s="4"/>
      <c r="X37" s="17"/>
      <c r="Y37" s="3"/>
      <c r="Z37" s="3"/>
    </row>
    <row r="38" spans="1:26" ht="12.75">
      <c r="A38" s="2" t="s">
        <v>119</v>
      </c>
      <c r="B38" s="3">
        <f>18+395</f>
        <v>413</v>
      </c>
      <c r="C38" s="7">
        <f>18+566</f>
        <v>584</v>
      </c>
      <c r="D38" s="3">
        <f>18+773</f>
        <v>791</v>
      </c>
      <c r="E38" s="4">
        <f>18+886</f>
        <v>904</v>
      </c>
      <c r="F38" s="17">
        <v>1018</v>
      </c>
      <c r="G38" s="7">
        <f>(1036+36595)/8</f>
        <v>4703.875</v>
      </c>
      <c r="H38" s="7">
        <f>(25180+157847)/83</f>
        <v>2205.144578313253</v>
      </c>
      <c r="J38" s="3" t="s">
        <v>119</v>
      </c>
      <c r="K38" s="3">
        <f>36+316</f>
        <v>352</v>
      </c>
      <c r="L38" s="3">
        <f>36+395</f>
        <v>431</v>
      </c>
      <c r="M38" s="3">
        <f>36+546</f>
        <v>582</v>
      </c>
      <c r="N38" s="4">
        <f>36+720</f>
        <v>756</v>
      </c>
      <c r="O38" s="17">
        <v>935</v>
      </c>
      <c r="P38" s="7">
        <f>(1036+36595)/8</f>
        <v>4703.875</v>
      </c>
      <c r="Q38" s="7">
        <f>(25180+157847)/83</f>
        <v>2205.144578313253</v>
      </c>
      <c r="S38" s="3" t="s">
        <v>119</v>
      </c>
      <c r="T38" s="3">
        <f>25+1117</f>
        <v>1142</v>
      </c>
      <c r="U38" s="3">
        <f>25+1387</f>
        <v>1412</v>
      </c>
      <c r="V38" s="3">
        <f>25+1706</f>
        <v>1731</v>
      </c>
      <c r="W38" s="4">
        <f>25+2020</f>
        <v>2045</v>
      </c>
      <c r="X38" s="17">
        <v>2206</v>
      </c>
      <c r="Y38" s="7">
        <f>(1036+36595)/8</f>
        <v>4703.875</v>
      </c>
      <c r="Z38" s="7">
        <f>(25180+157847)/83</f>
        <v>2205.144578313253</v>
      </c>
    </row>
    <row r="39" spans="1:26" ht="12.75">
      <c r="A39" s="2" t="s">
        <v>7</v>
      </c>
      <c r="B39" s="3">
        <v>7918</v>
      </c>
      <c r="C39" s="3">
        <v>9217</v>
      </c>
      <c r="D39" s="3">
        <v>10511</v>
      </c>
      <c r="E39" s="4">
        <v>13807</v>
      </c>
      <c r="F39" s="17">
        <v>16661</v>
      </c>
      <c r="G39" s="7">
        <f>542410/8</f>
        <v>67801.25</v>
      </c>
      <c r="H39" s="7">
        <f>2162472/83</f>
        <v>26053.87951807229</v>
      </c>
      <c r="J39" s="3" t="s">
        <v>7</v>
      </c>
      <c r="K39" s="3">
        <v>8525</v>
      </c>
      <c r="L39" s="3">
        <v>9013</v>
      </c>
      <c r="M39" s="4">
        <v>11273</v>
      </c>
      <c r="N39" s="4">
        <v>13585</v>
      </c>
      <c r="O39" s="17">
        <v>16369</v>
      </c>
      <c r="P39" s="7">
        <f>542410/8</f>
        <v>67801.25</v>
      </c>
      <c r="Q39" s="7">
        <f>2162472/83</f>
        <v>26053.87951807229</v>
      </c>
      <c r="S39" s="3" t="s">
        <v>7</v>
      </c>
      <c r="T39" s="3">
        <v>13947</v>
      </c>
      <c r="U39" s="3">
        <v>17870</v>
      </c>
      <c r="V39" s="4">
        <v>22473</v>
      </c>
      <c r="W39" s="4">
        <v>26496</v>
      </c>
      <c r="X39" s="17">
        <v>33778</v>
      </c>
      <c r="Y39" s="7">
        <f>542410/8</f>
        <v>67801.25</v>
      </c>
      <c r="Z39" s="7">
        <f>2162472/83</f>
        <v>26053.87951807229</v>
      </c>
    </row>
    <row r="40" spans="1:26" ht="12.75">
      <c r="A40" s="2" t="s">
        <v>8</v>
      </c>
      <c r="B40" s="3">
        <v>4531</v>
      </c>
      <c r="C40" s="3">
        <v>5137</v>
      </c>
      <c r="D40" s="3">
        <v>5429</v>
      </c>
      <c r="E40" s="4">
        <v>5898</v>
      </c>
      <c r="F40" s="17">
        <v>5112</v>
      </c>
      <c r="G40" s="7">
        <f>224945/8</f>
        <v>28118.125</v>
      </c>
      <c r="H40" s="7">
        <f>866961/83</f>
        <v>10445.313253012047</v>
      </c>
      <c r="J40" s="3" t="s">
        <v>8</v>
      </c>
      <c r="K40" s="3">
        <v>4159</v>
      </c>
      <c r="L40" s="3">
        <v>4761</v>
      </c>
      <c r="M40" s="4">
        <v>5487</v>
      </c>
      <c r="N40" s="4">
        <v>5796</v>
      </c>
      <c r="O40" s="17">
        <v>5694</v>
      </c>
      <c r="P40" s="7">
        <f>224945/8</f>
        <v>28118.125</v>
      </c>
      <c r="Q40" s="7">
        <f>866961/83</f>
        <v>10445.313253012047</v>
      </c>
      <c r="S40" s="3" t="s">
        <v>8</v>
      </c>
      <c r="T40" s="3">
        <v>5705</v>
      </c>
      <c r="U40" s="3">
        <v>8122</v>
      </c>
      <c r="V40" s="4">
        <v>11110</v>
      </c>
      <c r="W40" s="4">
        <v>12312</v>
      </c>
      <c r="X40" s="17">
        <v>12862</v>
      </c>
      <c r="Y40" s="7">
        <f>224945/8</f>
        <v>28118.125</v>
      </c>
      <c r="Z40" s="7">
        <f>866961/83</f>
        <v>10445.313253012047</v>
      </c>
    </row>
    <row r="41" spans="1:26" ht="12.75">
      <c r="A41" s="2" t="s">
        <v>9</v>
      </c>
      <c r="B41" s="3">
        <v>4289</v>
      </c>
      <c r="C41" s="3">
        <v>5183</v>
      </c>
      <c r="D41" s="3">
        <v>6406</v>
      </c>
      <c r="E41" s="4">
        <v>9041</v>
      </c>
      <c r="F41" s="17">
        <v>11876</v>
      </c>
      <c r="G41" s="7">
        <f>371519/8</f>
        <v>46439.875</v>
      </c>
      <c r="H41" s="7">
        <f>1515667/83</f>
        <v>18261.048192771083</v>
      </c>
      <c r="J41" s="3" t="s">
        <v>9</v>
      </c>
      <c r="K41" s="3">
        <v>4915</v>
      </c>
      <c r="L41" s="3">
        <v>5261</v>
      </c>
      <c r="M41" s="4">
        <v>6307</v>
      </c>
      <c r="N41" s="4">
        <v>8781</v>
      </c>
      <c r="O41" s="17">
        <v>11754</v>
      </c>
      <c r="P41" s="7">
        <f>371519/8</f>
        <v>46439.875</v>
      </c>
      <c r="Q41" s="7">
        <f>1515667/83</f>
        <v>18261.048192771083</v>
      </c>
      <c r="S41" s="3" t="s">
        <v>9</v>
      </c>
      <c r="T41" s="3">
        <v>8679</v>
      </c>
      <c r="U41" s="3">
        <v>10746</v>
      </c>
      <c r="V41" s="4">
        <v>13086</v>
      </c>
      <c r="W41" s="4">
        <v>15359</v>
      </c>
      <c r="X41" s="17">
        <v>22180</v>
      </c>
      <c r="Y41" s="7">
        <f>371519/8</f>
        <v>46439.875</v>
      </c>
      <c r="Z41" s="7">
        <f>1515667/83</f>
        <v>18261.048192771083</v>
      </c>
    </row>
    <row r="42" spans="1:26" ht="12.75">
      <c r="A42" s="2"/>
      <c r="B42" s="3"/>
      <c r="C42" s="3"/>
      <c r="D42" s="3"/>
      <c r="E42" s="4"/>
      <c r="F42" s="17"/>
      <c r="G42" s="7"/>
      <c r="H42" s="7"/>
      <c r="J42" s="3"/>
      <c r="K42" s="3"/>
      <c r="L42" s="3"/>
      <c r="M42" s="3"/>
      <c r="N42" s="4"/>
      <c r="O42" s="17"/>
      <c r="P42" s="7"/>
      <c r="Q42" s="7"/>
      <c r="S42" s="3"/>
      <c r="T42" s="3"/>
      <c r="U42" s="3"/>
      <c r="V42" s="3"/>
      <c r="W42" s="4"/>
      <c r="X42" s="17"/>
      <c r="Y42" s="7"/>
      <c r="Z42" s="7"/>
    </row>
    <row r="43" spans="1:26" ht="12.75">
      <c r="A43" s="2" t="s">
        <v>10</v>
      </c>
      <c r="B43" s="4">
        <v>888</v>
      </c>
      <c r="C43" s="4">
        <v>986</v>
      </c>
      <c r="D43" s="4">
        <v>1046</v>
      </c>
      <c r="E43" s="4">
        <v>1110</v>
      </c>
      <c r="F43" s="17">
        <v>1323</v>
      </c>
      <c r="G43" s="7">
        <f>49116/8</f>
        <v>6139.5</v>
      </c>
      <c r="H43" s="7">
        <f>184377/83</f>
        <v>2221.409638554217</v>
      </c>
      <c r="J43" s="3" t="s">
        <v>10</v>
      </c>
      <c r="K43" s="4">
        <v>971</v>
      </c>
      <c r="L43" s="4">
        <v>1037</v>
      </c>
      <c r="M43" s="3">
        <v>1057</v>
      </c>
      <c r="N43" s="4">
        <v>1174</v>
      </c>
      <c r="O43" s="17">
        <v>1347</v>
      </c>
      <c r="P43" s="7">
        <f>49116/8</f>
        <v>6139.5</v>
      </c>
      <c r="Q43" s="7">
        <f>184377/83</f>
        <v>2221.409638554217</v>
      </c>
      <c r="S43" s="3" t="s">
        <v>10</v>
      </c>
      <c r="T43" s="3">
        <v>1505</v>
      </c>
      <c r="U43" s="3">
        <v>1764</v>
      </c>
      <c r="V43" s="3">
        <v>1888</v>
      </c>
      <c r="W43" s="4">
        <v>2133</v>
      </c>
      <c r="X43" s="17">
        <v>2462</v>
      </c>
      <c r="Y43" s="7">
        <f>49116/8</f>
        <v>6139.5</v>
      </c>
      <c r="Z43" s="7">
        <f>184377/83</f>
        <v>2221.409638554217</v>
      </c>
    </row>
    <row r="44" spans="1:26" ht="12.75">
      <c r="A44" s="2" t="s">
        <v>11</v>
      </c>
      <c r="B44" s="4">
        <v>275</v>
      </c>
      <c r="C44" s="4">
        <v>302</v>
      </c>
      <c r="D44" s="4">
        <v>361</v>
      </c>
      <c r="E44" s="4">
        <v>178</v>
      </c>
      <c r="F44" s="17">
        <v>276</v>
      </c>
      <c r="G44" s="7">
        <f>9794/8</f>
        <v>1224.25</v>
      </c>
      <c r="H44" s="7">
        <f>37693/83</f>
        <v>454.13253012048193</v>
      </c>
      <c r="J44" s="3" t="s">
        <v>11</v>
      </c>
      <c r="K44" s="4">
        <v>233</v>
      </c>
      <c r="L44" s="4">
        <v>294</v>
      </c>
      <c r="M44" s="3">
        <v>340</v>
      </c>
      <c r="N44" s="4">
        <v>380</v>
      </c>
      <c r="O44" s="17">
        <v>347</v>
      </c>
      <c r="P44" s="7">
        <f>9794/8</f>
        <v>1224.25</v>
      </c>
      <c r="Q44" s="7">
        <f>37693/83</f>
        <v>454.13253012048193</v>
      </c>
      <c r="S44" s="3" t="s">
        <v>11</v>
      </c>
      <c r="T44" s="3">
        <v>264</v>
      </c>
      <c r="U44" s="3">
        <v>356</v>
      </c>
      <c r="V44" s="3">
        <v>630</v>
      </c>
      <c r="W44" s="4">
        <v>356</v>
      </c>
      <c r="X44" s="17">
        <v>347</v>
      </c>
      <c r="Y44" s="7">
        <f>9794/8</f>
        <v>1224.25</v>
      </c>
      <c r="Z44" s="7">
        <f>37693/83</f>
        <v>454.13253012048193</v>
      </c>
    </row>
    <row r="45" spans="1:26" ht="12.75">
      <c r="A45" s="2" t="s">
        <v>12</v>
      </c>
      <c r="B45" s="4">
        <v>596</v>
      </c>
      <c r="C45" s="4">
        <v>619</v>
      </c>
      <c r="D45" s="4">
        <v>593</v>
      </c>
      <c r="E45" s="4">
        <v>608</v>
      </c>
      <c r="F45" s="17">
        <v>781</v>
      </c>
      <c r="G45" s="7">
        <f>27809/8</f>
        <v>3476.125</v>
      </c>
      <c r="H45" s="7">
        <f>106836/83</f>
        <v>1287.1807228915663</v>
      </c>
      <c r="J45" s="3" t="s">
        <v>12</v>
      </c>
      <c r="K45" s="4">
        <v>656</v>
      </c>
      <c r="L45" s="4">
        <v>651</v>
      </c>
      <c r="M45" s="3">
        <v>603</v>
      </c>
      <c r="N45" s="4">
        <v>623</v>
      </c>
      <c r="O45" s="17">
        <v>735</v>
      </c>
      <c r="P45" s="7">
        <f>27809/8</f>
        <v>3476.125</v>
      </c>
      <c r="Q45" s="7">
        <f>106836/83</f>
        <v>1287.1807228915663</v>
      </c>
      <c r="S45" s="3" t="s">
        <v>12</v>
      </c>
      <c r="T45" s="3">
        <v>848</v>
      </c>
      <c r="U45" s="3">
        <v>975</v>
      </c>
      <c r="V45" s="3">
        <v>1066</v>
      </c>
      <c r="W45" s="4">
        <v>1157</v>
      </c>
      <c r="X45" s="17">
        <v>1465</v>
      </c>
      <c r="Y45" s="7">
        <f>27809/8</f>
        <v>3476.125</v>
      </c>
      <c r="Z45" s="7">
        <f>106836/83</f>
        <v>1287.1807228915663</v>
      </c>
    </row>
    <row r="46" spans="1:26" ht="12.75">
      <c r="A46" s="2" t="s">
        <v>13</v>
      </c>
      <c r="B46" s="4">
        <v>225</v>
      </c>
      <c r="C46" s="4">
        <v>248</v>
      </c>
      <c r="D46" s="4">
        <v>282</v>
      </c>
      <c r="E46" s="4">
        <v>328</v>
      </c>
      <c r="F46" s="17">
        <v>397</v>
      </c>
      <c r="G46" s="7">
        <f>15771/8</f>
        <v>1971.375</v>
      </c>
      <c r="H46" s="7">
        <f>58664/83</f>
        <v>706.7951807228916</v>
      </c>
      <c r="J46" s="3" t="s">
        <v>13</v>
      </c>
      <c r="K46" s="4">
        <v>314</v>
      </c>
      <c r="L46" s="4">
        <v>328</v>
      </c>
      <c r="M46" s="4">
        <v>370</v>
      </c>
      <c r="N46" s="4">
        <v>479</v>
      </c>
      <c r="O46" s="17">
        <v>520</v>
      </c>
      <c r="P46" s="7">
        <f>15771/8</f>
        <v>1971.375</v>
      </c>
      <c r="Q46" s="7">
        <f>58664/83</f>
        <v>706.7951807228916</v>
      </c>
      <c r="S46" s="3" t="s">
        <v>13</v>
      </c>
      <c r="T46" s="3">
        <v>357</v>
      </c>
      <c r="U46" s="3">
        <v>395</v>
      </c>
      <c r="V46" s="4">
        <v>449</v>
      </c>
      <c r="W46" s="4">
        <v>479</v>
      </c>
      <c r="X46" s="17">
        <v>612</v>
      </c>
      <c r="Y46" s="7">
        <f>15771/8</f>
        <v>1971.375</v>
      </c>
      <c r="Z46" s="7">
        <f>58664/83</f>
        <v>706.7951807228916</v>
      </c>
    </row>
    <row r="47" spans="1:26" ht="12.75">
      <c r="A47" s="2"/>
      <c r="B47" s="3"/>
      <c r="C47" s="3"/>
      <c r="D47" s="3"/>
      <c r="E47" s="4"/>
      <c r="F47" s="17"/>
      <c r="G47" s="3"/>
      <c r="H47" s="3"/>
      <c r="J47" s="3"/>
      <c r="K47" s="3"/>
      <c r="L47" s="3"/>
      <c r="M47" s="3"/>
      <c r="N47" s="4"/>
      <c r="O47" s="17"/>
      <c r="P47" s="3"/>
      <c r="Q47" s="3"/>
      <c r="S47" s="3"/>
      <c r="T47" s="3"/>
      <c r="U47" s="3"/>
      <c r="V47" s="3"/>
      <c r="W47" s="4"/>
      <c r="X47" s="17"/>
      <c r="Y47" s="3"/>
      <c r="Z47" s="3"/>
    </row>
    <row r="48" spans="1:26" ht="12.75">
      <c r="A48" s="48" t="s">
        <v>14</v>
      </c>
      <c r="B48" s="5">
        <v>7.45</v>
      </c>
      <c r="C48" s="5">
        <v>6.68</v>
      </c>
      <c r="D48" s="5">
        <v>5.56</v>
      </c>
      <c r="E48" s="5">
        <v>4.54</v>
      </c>
      <c r="F48" s="18">
        <v>4.51</v>
      </c>
      <c r="G48" s="6">
        <v>4.74</v>
      </c>
      <c r="H48" s="5">
        <v>4.35</v>
      </c>
      <c r="I48" s="6"/>
      <c r="J48" s="6" t="s">
        <v>14</v>
      </c>
      <c r="K48" s="5">
        <v>7.61</v>
      </c>
      <c r="L48" s="5">
        <v>6.88</v>
      </c>
      <c r="M48" s="6">
        <v>5.51</v>
      </c>
      <c r="N48" s="5">
        <v>4.69</v>
      </c>
      <c r="O48" s="18">
        <v>4.51</v>
      </c>
      <c r="P48" s="6">
        <v>4.74</v>
      </c>
      <c r="Q48" s="5">
        <v>4.35</v>
      </c>
      <c r="R48" s="6"/>
      <c r="S48" s="6" t="s">
        <v>14</v>
      </c>
      <c r="T48" s="6">
        <v>6.54</v>
      </c>
      <c r="U48" s="5">
        <v>5.99</v>
      </c>
      <c r="V48" s="6">
        <v>5.14</v>
      </c>
      <c r="W48" s="5">
        <v>4.62</v>
      </c>
      <c r="X48" s="18">
        <v>4.66</v>
      </c>
      <c r="Y48" s="6">
        <v>4.74</v>
      </c>
      <c r="Z48" s="5">
        <v>4.35</v>
      </c>
    </row>
    <row r="49" spans="1:26" ht="12.75">
      <c r="A49" s="48" t="s">
        <v>18</v>
      </c>
      <c r="B49" s="5">
        <v>2.88</v>
      </c>
      <c r="C49" s="5">
        <v>3.6</v>
      </c>
      <c r="D49" s="5">
        <v>3</v>
      </c>
      <c r="E49" s="5">
        <v>3.51</v>
      </c>
      <c r="F49" s="18">
        <v>3.58</v>
      </c>
      <c r="G49" s="6">
        <v>3.04</v>
      </c>
      <c r="H49" s="5">
        <v>3.79</v>
      </c>
      <c r="I49" s="6"/>
      <c r="J49" s="6" t="s">
        <v>18</v>
      </c>
      <c r="K49" s="5">
        <v>3.19</v>
      </c>
      <c r="L49" s="5">
        <v>3.49</v>
      </c>
      <c r="M49" s="6">
        <v>4.14</v>
      </c>
      <c r="N49" s="5">
        <v>4.01</v>
      </c>
      <c r="O49" s="18">
        <v>4</v>
      </c>
      <c r="P49" s="6">
        <v>3.04</v>
      </c>
      <c r="Q49" s="5">
        <v>3.79</v>
      </c>
      <c r="R49" s="6"/>
      <c r="S49" s="6" t="s">
        <v>18</v>
      </c>
      <c r="T49" s="6">
        <v>3.73</v>
      </c>
      <c r="U49" s="5">
        <v>4.13</v>
      </c>
      <c r="V49" s="6">
        <v>3.19</v>
      </c>
      <c r="W49" s="5">
        <v>3.28</v>
      </c>
      <c r="X49" s="18">
        <v>3.37</v>
      </c>
      <c r="Y49" s="6">
        <v>3.04</v>
      </c>
      <c r="Z49" s="5">
        <v>3.79</v>
      </c>
    </row>
    <row r="50" spans="1:26" ht="12.75">
      <c r="A50" s="48" t="s">
        <v>54</v>
      </c>
      <c r="B50" s="5">
        <v>18.65</v>
      </c>
      <c r="C50" s="5">
        <v>19.16</v>
      </c>
      <c r="D50" s="5">
        <v>20.28</v>
      </c>
      <c r="E50" s="5">
        <v>20.87</v>
      </c>
      <c r="F50" s="18">
        <v>18.18</v>
      </c>
      <c r="G50" s="6">
        <v>24.47</v>
      </c>
      <c r="H50" s="5">
        <v>20.17</v>
      </c>
      <c r="I50" s="6"/>
      <c r="J50" s="6" t="s">
        <v>54</v>
      </c>
      <c r="K50" s="5">
        <v>24.91</v>
      </c>
      <c r="L50" s="5">
        <v>25.38</v>
      </c>
      <c r="M50" s="6">
        <v>27.26</v>
      </c>
      <c r="N50" s="5">
        <v>30</v>
      </c>
      <c r="O50" s="18">
        <v>23.57</v>
      </c>
      <c r="P50" s="6">
        <v>24.47</v>
      </c>
      <c r="Q50" s="5">
        <v>20.17</v>
      </c>
      <c r="R50" s="6"/>
      <c r="S50" s="6" t="s">
        <v>54</v>
      </c>
      <c r="T50" s="6">
        <v>20.58</v>
      </c>
      <c r="U50" s="5">
        <v>19.15</v>
      </c>
      <c r="V50" s="6">
        <v>18.56</v>
      </c>
      <c r="W50" s="5">
        <v>17.98</v>
      </c>
      <c r="X50" s="18">
        <v>17.92</v>
      </c>
      <c r="Y50" s="6">
        <v>24.47</v>
      </c>
      <c r="Z50" s="5">
        <v>20.17</v>
      </c>
    </row>
    <row r="51" spans="1:26" ht="12.75">
      <c r="A51" s="48"/>
      <c r="B51" s="6"/>
      <c r="C51" s="6"/>
      <c r="D51" s="6"/>
      <c r="E51" s="5"/>
      <c r="F51" s="18"/>
      <c r="G51" s="6"/>
      <c r="H51" s="6"/>
      <c r="I51" s="6"/>
      <c r="J51" s="6"/>
      <c r="K51" s="6"/>
      <c r="L51" s="6"/>
      <c r="M51" s="6"/>
      <c r="N51" s="5"/>
      <c r="O51" s="18"/>
      <c r="P51" s="6"/>
      <c r="Q51" s="6"/>
      <c r="R51" s="6"/>
      <c r="S51" s="6"/>
      <c r="T51" s="6"/>
      <c r="U51" s="6"/>
      <c r="V51" s="6"/>
      <c r="W51" s="5"/>
      <c r="X51" s="18"/>
      <c r="Y51" s="6"/>
      <c r="Z51" s="6"/>
    </row>
    <row r="52" spans="1:26" ht="12.75">
      <c r="A52" s="48" t="s">
        <v>15</v>
      </c>
      <c r="B52" s="5">
        <v>1.24</v>
      </c>
      <c r="C52" s="5">
        <v>1.76</v>
      </c>
      <c r="D52" s="5">
        <v>1.73</v>
      </c>
      <c r="E52" s="5">
        <v>0.92</v>
      </c>
      <c r="F52" s="18">
        <v>0.76</v>
      </c>
      <c r="G52" s="5">
        <v>0.87</v>
      </c>
      <c r="H52" s="5">
        <v>1</v>
      </c>
      <c r="I52" s="6"/>
      <c r="J52" s="6" t="s">
        <v>15</v>
      </c>
      <c r="K52" s="5">
        <v>0.64</v>
      </c>
      <c r="L52" s="5">
        <v>1.02</v>
      </c>
      <c r="M52" s="5">
        <v>1.28</v>
      </c>
      <c r="N52" s="5">
        <v>1.25</v>
      </c>
      <c r="O52" s="18">
        <v>1.23</v>
      </c>
      <c r="P52" s="5">
        <v>0.87</v>
      </c>
      <c r="Q52" s="5">
        <v>1</v>
      </c>
      <c r="R52" s="6"/>
      <c r="S52" s="6" t="s">
        <v>15</v>
      </c>
      <c r="T52" s="6">
        <v>1.34</v>
      </c>
      <c r="U52" s="5">
        <v>1.51</v>
      </c>
      <c r="V52" s="5">
        <v>1.6</v>
      </c>
      <c r="W52" s="5">
        <v>0.91</v>
      </c>
      <c r="X52" s="18">
        <v>0.73</v>
      </c>
      <c r="Y52" s="5">
        <v>0.87</v>
      </c>
      <c r="Z52" s="5">
        <v>1</v>
      </c>
    </row>
    <row r="53" spans="1:26" ht="12.75">
      <c r="A53" s="48" t="s">
        <v>16</v>
      </c>
      <c r="B53" s="5">
        <v>12.78</v>
      </c>
      <c r="C53" s="5">
        <v>13.09</v>
      </c>
      <c r="D53" s="5">
        <v>12.39</v>
      </c>
      <c r="E53" s="5">
        <v>11.61</v>
      </c>
      <c r="F53" s="18">
        <v>11.4</v>
      </c>
      <c r="G53" s="5">
        <v>11.53</v>
      </c>
      <c r="H53" s="6">
        <v>12.24</v>
      </c>
      <c r="I53" s="6"/>
      <c r="J53" s="6" t="s">
        <v>16</v>
      </c>
      <c r="K53" s="5">
        <v>11.81</v>
      </c>
      <c r="L53" s="5">
        <v>11.62</v>
      </c>
      <c r="M53" s="5">
        <v>11.53</v>
      </c>
      <c r="N53" s="5">
        <v>12.08</v>
      </c>
      <c r="O53" s="18">
        <v>11.37</v>
      </c>
      <c r="P53" s="5">
        <v>11.53</v>
      </c>
      <c r="Q53" s="6">
        <v>12.24</v>
      </c>
      <c r="R53" s="6"/>
      <c r="S53" s="6" t="s">
        <v>16</v>
      </c>
      <c r="T53" s="6">
        <v>12.55</v>
      </c>
      <c r="U53" s="5">
        <v>13.57</v>
      </c>
      <c r="V53" s="5">
        <v>13.56</v>
      </c>
      <c r="W53" s="5">
        <v>14.21</v>
      </c>
      <c r="X53" s="18">
        <v>13.55</v>
      </c>
      <c r="Y53" s="5">
        <v>11.53</v>
      </c>
      <c r="Z53" s="6">
        <v>12.24</v>
      </c>
    </row>
    <row r="54" spans="1:26" ht="12.75">
      <c r="A54" s="48" t="s">
        <v>17</v>
      </c>
      <c r="B54" s="6">
        <v>3.58</v>
      </c>
      <c r="C54" s="6">
        <v>2.66</v>
      </c>
      <c r="D54" s="6">
        <v>0</v>
      </c>
      <c r="E54" s="5">
        <v>1</v>
      </c>
      <c r="F54" s="18">
        <v>1.83</v>
      </c>
      <c r="G54" s="6">
        <v>1.39</v>
      </c>
      <c r="H54" s="5">
        <v>1.22</v>
      </c>
      <c r="I54" s="6"/>
      <c r="J54" s="6" t="s">
        <v>17</v>
      </c>
      <c r="K54" s="6">
        <v>7.36</v>
      </c>
      <c r="L54" s="6">
        <v>5.19</v>
      </c>
      <c r="M54" s="6">
        <v>2.96</v>
      </c>
      <c r="N54" s="5">
        <v>0.92</v>
      </c>
      <c r="O54" s="18">
        <v>0.74</v>
      </c>
      <c r="P54" s="6">
        <v>1.39</v>
      </c>
      <c r="Q54" s="5">
        <v>1.22</v>
      </c>
      <c r="R54" s="6"/>
      <c r="S54" s="6" t="s">
        <v>17</v>
      </c>
      <c r="T54" s="6">
        <v>2.94</v>
      </c>
      <c r="U54" s="6">
        <v>1.49</v>
      </c>
      <c r="V54" s="31">
        <v>0</v>
      </c>
      <c r="W54" s="5">
        <v>1.23</v>
      </c>
      <c r="X54" s="18">
        <v>0.99</v>
      </c>
      <c r="Y54" s="6">
        <v>1.39</v>
      </c>
      <c r="Z54" s="5">
        <v>1.22</v>
      </c>
    </row>
    <row r="55" spans="1:26" ht="12.75">
      <c r="A55" s="3"/>
      <c r="B55" s="3"/>
      <c r="C55" s="3"/>
      <c r="D55" s="3"/>
      <c r="E55" s="3"/>
      <c r="F55" s="3"/>
      <c r="G55" s="3"/>
      <c r="H55" s="3"/>
      <c r="J55" s="3"/>
      <c r="K55" s="3"/>
      <c r="L55" s="3"/>
      <c r="M55" s="3"/>
      <c r="N55" s="3"/>
      <c r="O55" s="3"/>
      <c r="P55" s="3"/>
      <c r="Q55" s="3"/>
      <c r="S55" s="3"/>
      <c r="T55" s="3"/>
      <c r="U55" s="3"/>
      <c r="V55" s="3"/>
      <c r="W55" s="3"/>
      <c r="X55" s="3"/>
      <c r="Y55" s="3"/>
      <c r="Z55" s="3"/>
    </row>
    <row r="56" spans="1:17" ht="12.75">
      <c r="A56" s="26" t="s">
        <v>112</v>
      </c>
      <c r="B56" s="27"/>
      <c r="C56" s="27"/>
      <c r="D56" s="27"/>
      <c r="E56" s="27"/>
      <c r="F56" s="27"/>
      <c r="G56" s="26" t="s">
        <v>61</v>
      </c>
      <c r="H56" s="27"/>
      <c r="J56" s="26" t="s">
        <v>112</v>
      </c>
      <c r="K56" s="27"/>
      <c r="L56" s="27"/>
      <c r="M56" s="27"/>
      <c r="N56" s="27"/>
      <c r="O56" s="27"/>
      <c r="P56" s="26" t="s">
        <v>62</v>
      </c>
      <c r="Q56" s="27"/>
    </row>
    <row r="57" spans="1:26" ht="12.75">
      <c r="A57" s="3"/>
      <c r="B57" s="3"/>
      <c r="C57" s="3"/>
      <c r="D57" s="3"/>
      <c r="E57" s="3"/>
      <c r="F57" s="3"/>
      <c r="H57" s="36" t="s">
        <v>19</v>
      </c>
      <c r="J57" s="3"/>
      <c r="K57" s="3"/>
      <c r="L57" s="3"/>
      <c r="M57" s="3"/>
      <c r="N57" s="3"/>
      <c r="O57" s="3"/>
      <c r="Q57" s="36" t="s">
        <v>19</v>
      </c>
      <c r="S57" s="3"/>
      <c r="T57" s="3"/>
      <c r="U57" s="3"/>
      <c r="V57" s="3"/>
      <c r="W57" s="3"/>
      <c r="X57" s="3"/>
      <c r="Y57" s="3"/>
      <c r="Z57" s="3"/>
    </row>
    <row r="58" spans="1:19" ht="12.75">
      <c r="A58" s="32" t="s">
        <v>4</v>
      </c>
      <c r="B58" s="17" t="s">
        <v>0</v>
      </c>
      <c r="C58" s="17" t="s">
        <v>1</v>
      </c>
      <c r="D58" s="17" t="s">
        <v>2</v>
      </c>
      <c r="E58" s="17" t="s">
        <v>3</v>
      </c>
      <c r="F58" s="17" t="s">
        <v>117</v>
      </c>
      <c r="G58" s="17" t="s">
        <v>53</v>
      </c>
      <c r="H58" s="17" t="s">
        <v>111</v>
      </c>
      <c r="J58" s="17" t="s">
        <v>4</v>
      </c>
      <c r="K58" s="17" t="s">
        <v>0</v>
      </c>
      <c r="L58" s="17" t="s">
        <v>1</v>
      </c>
      <c r="M58" s="17" t="s">
        <v>2</v>
      </c>
      <c r="N58" s="17" t="s">
        <v>3</v>
      </c>
      <c r="O58" s="17" t="s">
        <v>117</v>
      </c>
      <c r="P58" s="17" t="s">
        <v>53</v>
      </c>
      <c r="Q58" s="17" t="s">
        <v>111</v>
      </c>
      <c r="S58" s="3"/>
    </row>
    <row r="59" spans="1:19" ht="12.75">
      <c r="A59" s="32"/>
      <c r="B59" s="17"/>
      <c r="C59" s="17"/>
      <c r="D59" s="17"/>
      <c r="E59" s="17"/>
      <c r="F59" s="17"/>
      <c r="G59" s="28" t="s">
        <v>117</v>
      </c>
      <c r="H59" s="28" t="s">
        <v>117</v>
      </c>
      <c r="J59" s="17"/>
      <c r="K59" s="17"/>
      <c r="L59" s="17"/>
      <c r="M59" s="17"/>
      <c r="N59" s="17"/>
      <c r="O59" s="17"/>
      <c r="P59" s="28" t="s">
        <v>117</v>
      </c>
      <c r="Q59" s="28" t="s">
        <v>117</v>
      </c>
      <c r="S59" s="3"/>
    </row>
    <row r="60" spans="1:26" ht="12.75">
      <c r="A60" s="3" t="s">
        <v>5</v>
      </c>
      <c r="B60" s="3">
        <v>421</v>
      </c>
      <c r="C60" s="3">
        <v>424</v>
      </c>
      <c r="D60" s="3">
        <v>428</v>
      </c>
      <c r="E60" s="4">
        <v>429</v>
      </c>
      <c r="F60" s="17">
        <v>439</v>
      </c>
      <c r="G60" s="7">
        <f>14039/8</f>
        <v>1754.875</v>
      </c>
      <c r="H60" s="7">
        <f>(14039+35356+261+6746)/83</f>
        <v>679.5421686746988</v>
      </c>
      <c r="J60" s="3" t="s">
        <v>5</v>
      </c>
      <c r="K60" s="3">
        <v>683</v>
      </c>
      <c r="L60" s="3">
        <v>682</v>
      </c>
      <c r="M60" s="3">
        <v>679</v>
      </c>
      <c r="N60" s="4">
        <v>681</v>
      </c>
      <c r="O60" s="17">
        <v>703</v>
      </c>
      <c r="P60" s="7">
        <f>14039/8</f>
        <v>1754.875</v>
      </c>
      <c r="Q60" s="7">
        <f>(14039+35356+261+6746)/83</f>
        <v>679.5421686746988</v>
      </c>
      <c r="S60" s="3"/>
      <c r="T60" s="3"/>
      <c r="U60" s="3"/>
      <c r="V60" s="3"/>
      <c r="W60" s="3"/>
      <c r="X60" s="3"/>
      <c r="Y60" s="3"/>
      <c r="Z60" s="3"/>
    </row>
    <row r="61" spans="1:19" ht="12.75">
      <c r="A61" s="2" t="s">
        <v>6</v>
      </c>
      <c r="B61" s="3">
        <v>7440</v>
      </c>
      <c r="C61" s="3">
        <v>7406</v>
      </c>
      <c r="D61" s="3">
        <v>7391</v>
      </c>
      <c r="E61" s="4">
        <v>7325</v>
      </c>
      <c r="F61" s="17">
        <v>7257</v>
      </c>
      <c r="G61" s="7">
        <v>33826</v>
      </c>
      <c r="H61" s="7">
        <v>10458</v>
      </c>
      <c r="J61" s="3" t="s">
        <v>6</v>
      </c>
      <c r="K61" s="3">
        <v>12137</v>
      </c>
      <c r="L61" s="3">
        <v>12005</v>
      </c>
      <c r="M61" s="3">
        <v>12007</v>
      </c>
      <c r="N61" s="4">
        <v>11828</v>
      </c>
      <c r="O61" s="17">
        <v>11642</v>
      </c>
      <c r="P61" s="7">
        <v>33826</v>
      </c>
      <c r="Q61" s="7">
        <v>10458</v>
      </c>
      <c r="S61" s="3"/>
    </row>
    <row r="62" spans="1:19" ht="12.75">
      <c r="A62" s="48" t="s">
        <v>20</v>
      </c>
      <c r="B62" s="6">
        <v>152.12</v>
      </c>
      <c r="C62" s="6">
        <v>167.87</v>
      </c>
      <c r="D62" s="6">
        <v>193.16</v>
      </c>
      <c r="E62" s="5">
        <v>263.06</v>
      </c>
      <c r="F62" s="18">
        <v>303.94</v>
      </c>
      <c r="G62" s="6">
        <v>337.73</v>
      </c>
      <c r="H62" s="6">
        <v>423.74</v>
      </c>
      <c r="I62" s="6"/>
      <c r="J62" s="6" t="s">
        <v>20</v>
      </c>
      <c r="K62" s="6">
        <v>178.78</v>
      </c>
      <c r="L62" s="6">
        <v>217.68</v>
      </c>
      <c r="M62" s="6">
        <v>271.78</v>
      </c>
      <c r="N62" s="5">
        <v>346.25</v>
      </c>
      <c r="O62" s="18">
        <v>381.19</v>
      </c>
      <c r="P62" s="6">
        <v>337.73</v>
      </c>
      <c r="Q62" s="6">
        <v>423.74</v>
      </c>
      <c r="S62" s="3"/>
    </row>
    <row r="63" spans="1:19" ht="12.75">
      <c r="A63" s="48" t="s">
        <v>56</v>
      </c>
      <c r="B63" s="6">
        <v>1.1</v>
      </c>
      <c r="C63" s="6">
        <v>1.25</v>
      </c>
      <c r="D63" s="5">
        <v>2.4</v>
      </c>
      <c r="E63" s="5">
        <v>0.56</v>
      </c>
      <c r="F63" s="18">
        <v>0.64</v>
      </c>
      <c r="G63" s="6">
        <v>2.2</v>
      </c>
      <c r="H63" s="6">
        <v>2.84</v>
      </c>
      <c r="I63" s="6"/>
      <c r="J63" s="6" t="s">
        <v>56</v>
      </c>
      <c r="K63" s="6">
        <v>1.06</v>
      </c>
      <c r="L63" s="6">
        <v>1.51</v>
      </c>
      <c r="M63" s="5">
        <v>2.16</v>
      </c>
      <c r="N63" s="5">
        <v>2.21</v>
      </c>
      <c r="O63" s="18">
        <v>2.34</v>
      </c>
      <c r="P63" s="6">
        <v>2.2</v>
      </c>
      <c r="Q63" s="6">
        <v>2.84</v>
      </c>
      <c r="S63" s="3"/>
    </row>
    <row r="64" spans="1:19" ht="12.75">
      <c r="A64" s="2"/>
      <c r="B64" s="3"/>
      <c r="C64" s="3"/>
      <c r="D64" s="3"/>
      <c r="E64" s="4"/>
      <c r="F64" s="17"/>
      <c r="G64" s="3"/>
      <c r="H64" s="3"/>
      <c r="J64" s="3"/>
      <c r="K64" s="3"/>
      <c r="L64" s="3"/>
      <c r="M64" s="3"/>
      <c r="N64" s="4"/>
      <c r="O64" s="17"/>
      <c r="P64" s="3"/>
      <c r="Q64" s="3"/>
      <c r="S64" s="3"/>
    </row>
    <row r="65" spans="1:19" ht="12.75">
      <c r="A65" s="2" t="s">
        <v>119</v>
      </c>
      <c r="B65" s="3">
        <f>314+254</f>
        <v>568</v>
      </c>
      <c r="C65" s="3">
        <f>314+311</f>
        <v>625</v>
      </c>
      <c r="D65" s="3">
        <f>314+453</f>
        <v>767</v>
      </c>
      <c r="E65" s="4">
        <f>314+480</f>
        <v>794</v>
      </c>
      <c r="F65" s="17">
        <v>977</v>
      </c>
      <c r="G65" s="7">
        <f>(1036+36595)/8</f>
        <v>4703.875</v>
      </c>
      <c r="H65" s="7">
        <f>(25180+157847)/83</f>
        <v>2205.144578313253</v>
      </c>
      <c r="J65" s="3" t="s">
        <v>119</v>
      </c>
      <c r="K65" s="3">
        <f>50+560</f>
        <v>610</v>
      </c>
      <c r="L65" s="3">
        <f>50+673</f>
        <v>723</v>
      </c>
      <c r="M65" s="3">
        <f>50+875</f>
        <v>925</v>
      </c>
      <c r="N65" s="4">
        <f>50+1080</f>
        <v>1130</v>
      </c>
      <c r="O65" s="17">
        <v>1332</v>
      </c>
      <c r="P65" s="7">
        <f>(1036+36595)/8</f>
        <v>4703.875</v>
      </c>
      <c r="Q65" s="7">
        <f>(25180+157847)/83</f>
        <v>2205.144578313253</v>
      </c>
      <c r="S65" s="3"/>
    </row>
    <row r="66" spans="1:19" ht="12.75">
      <c r="A66" s="2" t="s">
        <v>7</v>
      </c>
      <c r="B66" s="3">
        <v>7603</v>
      </c>
      <c r="C66" s="3">
        <v>9051</v>
      </c>
      <c r="D66" s="4">
        <v>10675</v>
      </c>
      <c r="E66" s="4">
        <v>12613</v>
      </c>
      <c r="F66" s="17">
        <v>13841</v>
      </c>
      <c r="G66" s="7">
        <f>542410/8</f>
        <v>67801.25</v>
      </c>
      <c r="H66" s="7">
        <f>2162472/83</f>
        <v>26053.87951807229</v>
      </c>
      <c r="J66" s="3" t="s">
        <v>7</v>
      </c>
      <c r="K66" s="3">
        <v>13460</v>
      </c>
      <c r="L66" s="3">
        <v>15926</v>
      </c>
      <c r="M66" s="4">
        <v>19721</v>
      </c>
      <c r="N66" s="4">
        <v>24133</v>
      </c>
      <c r="O66" s="17">
        <v>25997</v>
      </c>
      <c r="P66" s="7">
        <f>542410/8</f>
        <v>67801.25</v>
      </c>
      <c r="Q66" s="7">
        <f>2162472/83</f>
        <v>26053.87951807229</v>
      </c>
      <c r="S66" s="3"/>
    </row>
    <row r="67" spans="1:19" ht="12.75">
      <c r="A67" s="2" t="s">
        <v>8</v>
      </c>
      <c r="B67" s="3">
        <v>3546</v>
      </c>
      <c r="C67" s="3">
        <v>4760</v>
      </c>
      <c r="D67" s="4">
        <v>5846</v>
      </c>
      <c r="E67" s="4">
        <v>6086</v>
      </c>
      <c r="F67" s="17">
        <v>5925</v>
      </c>
      <c r="G67" s="7">
        <f>224945/8</f>
        <v>28118.125</v>
      </c>
      <c r="H67" s="7">
        <f>866961/83</f>
        <v>10445.313253012047</v>
      </c>
      <c r="J67" s="3" t="s">
        <v>8</v>
      </c>
      <c r="K67" s="3">
        <v>6372</v>
      </c>
      <c r="L67" s="3">
        <v>8039</v>
      </c>
      <c r="M67" s="4">
        <v>10778</v>
      </c>
      <c r="N67" s="4">
        <v>10592</v>
      </c>
      <c r="O67" s="17">
        <v>10630</v>
      </c>
      <c r="P67" s="7">
        <f>224945/8</f>
        <v>28118.125</v>
      </c>
      <c r="Q67" s="7">
        <f>866961/83</f>
        <v>10445.313253012047</v>
      </c>
      <c r="S67" s="3"/>
    </row>
    <row r="68" spans="1:19" ht="12.75">
      <c r="A68" s="2" t="s">
        <v>9</v>
      </c>
      <c r="B68" s="3">
        <v>4111</v>
      </c>
      <c r="C68" s="3">
        <v>4649</v>
      </c>
      <c r="D68" s="4">
        <v>5240</v>
      </c>
      <c r="E68" s="4">
        <v>6714</v>
      </c>
      <c r="F68" s="17">
        <v>8443</v>
      </c>
      <c r="G68" s="7">
        <f>371519/8</f>
        <v>46439.875</v>
      </c>
      <c r="H68" s="7">
        <f>1515667/83</f>
        <v>18261.048192771083</v>
      </c>
      <c r="J68" s="3" t="s">
        <v>9</v>
      </c>
      <c r="K68" s="3">
        <v>7436</v>
      </c>
      <c r="L68" s="3">
        <v>9171</v>
      </c>
      <c r="M68" s="4">
        <v>11132</v>
      </c>
      <c r="N68" s="4">
        <v>14848</v>
      </c>
      <c r="O68" s="17">
        <v>18866</v>
      </c>
      <c r="P68" s="7">
        <f>371519/8</f>
        <v>46439.875</v>
      </c>
      <c r="Q68" s="7">
        <f>1515667/83</f>
        <v>18261.048192771083</v>
      </c>
      <c r="S68" s="3"/>
    </row>
    <row r="69" spans="1:19" ht="12.75">
      <c r="A69" s="2"/>
      <c r="B69" s="3"/>
      <c r="C69" s="3"/>
      <c r="D69" s="3"/>
      <c r="E69" s="4"/>
      <c r="F69" s="17"/>
      <c r="G69" s="7"/>
      <c r="H69" s="7"/>
      <c r="J69" s="3"/>
      <c r="K69" s="3"/>
      <c r="L69" s="3"/>
      <c r="M69" s="3"/>
      <c r="N69" s="4"/>
      <c r="O69" s="17"/>
      <c r="P69" s="7"/>
      <c r="Q69" s="7"/>
      <c r="S69" s="3"/>
    </row>
    <row r="70" spans="1:19" ht="12.75">
      <c r="A70" s="2" t="s">
        <v>10</v>
      </c>
      <c r="B70" s="4">
        <v>843</v>
      </c>
      <c r="C70" s="4">
        <v>904</v>
      </c>
      <c r="D70" s="3">
        <v>978</v>
      </c>
      <c r="E70" s="4">
        <v>1132</v>
      </c>
      <c r="F70" s="17">
        <v>1177</v>
      </c>
      <c r="G70" s="7">
        <f>49116/8</f>
        <v>6139.5</v>
      </c>
      <c r="H70" s="7">
        <f>184377/83</f>
        <v>2221.409638554217</v>
      </c>
      <c r="J70" s="3" t="s">
        <v>10</v>
      </c>
      <c r="K70" s="4">
        <v>1454</v>
      </c>
      <c r="L70" s="4">
        <v>1584</v>
      </c>
      <c r="M70" s="3">
        <v>1740</v>
      </c>
      <c r="N70" s="4">
        <v>2008</v>
      </c>
      <c r="O70" s="17">
        <v>2299</v>
      </c>
      <c r="P70" s="7">
        <f>49116/8</f>
        <v>6139.5</v>
      </c>
      <c r="Q70" s="7">
        <f>184377/83</f>
        <v>2221.409638554217</v>
      </c>
      <c r="S70" s="3"/>
    </row>
    <row r="71" spans="1:19" ht="12.75">
      <c r="A71" s="2" t="s">
        <v>11</v>
      </c>
      <c r="B71" s="4">
        <v>173</v>
      </c>
      <c r="C71" s="4">
        <v>215</v>
      </c>
      <c r="D71" s="3">
        <v>306</v>
      </c>
      <c r="E71" s="4">
        <v>133</v>
      </c>
      <c r="F71" s="17">
        <v>136</v>
      </c>
      <c r="G71" s="7">
        <f>9794/8</f>
        <v>1224.25</v>
      </c>
      <c r="H71" s="7">
        <f>37693/83</f>
        <v>454.13253012048193</v>
      </c>
      <c r="J71" s="3" t="s">
        <v>11</v>
      </c>
      <c r="K71" s="4">
        <v>230</v>
      </c>
      <c r="L71" s="4">
        <v>300</v>
      </c>
      <c r="M71" s="3">
        <v>470</v>
      </c>
      <c r="N71" s="4">
        <v>409</v>
      </c>
      <c r="O71" s="17">
        <v>351</v>
      </c>
      <c r="P71" s="7">
        <f>9794/8</f>
        <v>1224.25</v>
      </c>
      <c r="Q71" s="7">
        <f>37693/83</f>
        <v>454.13253012048193</v>
      </c>
      <c r="S71" s="3"/>
    </row>
    <row r="72" spans="1:19" ht="12.75">
      <c r="A72" s="2" t="s">
        <v>12</v>
      </c>
      <c r="B72" s="4">
        <v>563</v>
      </c>
      <c r="C72" s="4">
        <v>585</v>
      </c>
      <c r="D72" s="3">
        <v>574</v>
      </c>
      <c r="E72" s="4">
        <v>624</v>
      </c>
      <c r="F72" s="17">
        <v>698</v>
      </c>
      <c r="G72" s="7">
        <f>27809/8</f>
        <v>3476.125</v>
      </c>
      <c r="H72" s="7">
        <f>106836/83</f>
        <v>1287.1807228915663</v>
      </c>
      <c r="J72" s="3" t="s">
        <v>12</v>
      </c>
      <c r="K72" s="4">
        <v>1029</v>
      </c>
      <c r="L72" s="4">
        <v>1062</v>
      </c>
      <c r="M72" s="3">
        <v>1057</v>
      </c>
      <c r="N72" s="4">
        <v>1112</v>
      </c>
      <c r="O72" s="17">
        <v>1343</v>
      </c>
      <c r="P72" s="7">
        <f>27809/8</f>
        <v>3476.125</v>
      </c>
      <c r="Q72" s="7">
        <f>106836/83</f>
        <v>1287.1807228915663</v>
      </c>
      <c r="S72" s="3"/>
    </row>
    <row r="73" spans="1:19" ht="12.75">
      <c r="A73" s="2" t="s">
        <v>13</v>
      </c>
      <c r="B73" s="4">
        <v>232</v>
      </c>
      <c r="C73" s="4">
        <v>248</v>
      </c>
      <c r="D73" s="4">
        <v>257</v>
      </c>
      <c r="E73" s="4">
        <v>254</v>
      </c>
      <c r="F73" s="17">
        <v>308</v>
      </c>
      <c r="G73" s="7">
        <f>15771/8</f>
        <v>1971.375</v>
      </c>
      <c r="H73" s="7">
        <f>58664/83</f>
        <v>706.7951807228916</v>
      </c>
      <c r="J73" s="3" t="s">
        <v>13</v>
      </c>
      <c r="K73" s="4">
        <v>333</v>
      </c>
      <c r="L73" s="4">
        <v>368</v>
      </c>
      <c r="M73" s="4">
        <v>452</v>
      </c>
      <c r="N73" s="4">
        <v>503</v>
      </c>
      <c r="O73" s="17">
        <v>632</v>
      </c>
      <c r="P73" s="7">
        <f>15771/8</f>
        <v>1971.375</v>
      </c>
      <c r="Q73" s="7">
        <f>58664/83</f>
        <v>706.7951807228916</v>
      </c>
      <c r="S73" s="3"/>
    </row>
    <row r="74" spans="1:19" ht="12.75">
      <c r="A74" s="2"/>
      <c r="B74" s="3"/>
      <c r="C74" s="3"/>
      <c r="D74" s="3"/>
      <c r="E74" s="4"/>
      <c r="F74" s="17"/>
      <c r="G74" s="3"/>
      <c r="H74" s="3"/>
      <c r="J74" s="3"/>
      <c r="K74" s="3"/>
      <c r="L74" s="3"/>
      <c r="M74" s="3"/>
      <c r="N74" s="4"/>
      <c r="O74" s="17"/>
      <c r="P74" s="3"/>
      <c r="Q74" s="3"/>
      <c r="S74" s="3"/>
    </row>
    <row r="75" spans="1:19" ht="12.75">
      <c r="A75" s="48" t="s">
        <v>14</v>
      </c>
      <c r="B75" s="5">
        <v>7.61</v>
      </c>
      <c r="C75" s="5">
        <v>6.73</v>
      </c>
      <c r="D75" s="6">
        <v>5.49</v>
      </c>
      <c r="E75" s="5">
        <v>4.95</v>
      </c>
      <c r="F75" s="18">
        <v>4.88</v>
      </c>
      <c r="G75" s="6">
        <v>4.74</v>
      </c>
      <c r="H75" s="5">
        <v>4.35</v>
      </c>
      <c r="I75" s="6"/>
      <c r="J75" s="6" t="s">
        <v>14</v>
      </c>
      <c r="K75" s="5">
        <v>8</v>
      </c>
      <c r="L75" s="5">
        <v>6.81</v>
      </c>
      <c r="M75" s="6">
        <v>5.54</v>
      </c>
      <c r="N75" s="5">
        <v>4.76</v>
      </c>
      <c r="O75" s="18">
        <v>4.89</v>
      </c>
      <c r="P75" s="6">
        <v>4.74</v>
      </c>
      <c r="Q75" s="5">
        <v>4.35</v>
      </c>
      <c r="S75" s="3"/>
    </row>
    <row r="76" spans="1:19" ht="12.75">
      <c r="A76" s="48" t="s">
        <v>18</v>
      </c>
      <c r="B76" s="5">
        <v>2.95</v>
      </c>
      <c r="C76" s="5">
        <v>2.82</v>
      </c>
      <c r="D76" s="6">
        <v>2.97</v>
      </c>
      <c r="E76" s="5">
        <v>2.66</v>
      </c>
      <c r="F76" s="18">
        <v>2.74</v>
      </c>
      <c r="G76" s="6">
        <v>3.04</v>
      </c>
      <c r="H76" s="5">
        <v>3.79</v>
      </c>
      <c r="I76" s="6"/>
      <c r="J76" s="6" t="s">
        <v>18</v>
      </c>
      <c r="K76" s="5">
        <v>1.87</v>
      </c>
      <c r="L76" s="5">
        <v>2.7</v>
      </c>
      <c r="M76" s="6">
        <v>3</v>
      </c>
      <c r="N76" s="5">
        <v>3.03</v>
      </c>
      <c r="O76" s="18">
        <v>3.01</v>
      </c>
      <c r="P76" s="6">
        <v>3.04</v>
      </c>
      <c r="Q76" s="5">
        <v>3.79</v>
      </c>
      <c r="S76" s="3"/>
    </row>
    <row r="77" spans="1:19" ht="12.75">
      <c r="A77" s="48" t="s">
        <v>54</v>
      </c>
      <c r="B77" s="5">
        <v>18.55</v>
      </c>
      <c r="C77" s="5">
        <v>18.57</v>
      </c>
      <c r="D77" s="6">
        <v>19.22</v>
      </c>
      <c r="E77" s="5">
        <v>18.79</v>
      </c>
      <c r="F77" s="18">
        <v>22.81</v>
      </c>
      <c r="G77" s="6">
        <v>24.47</v>
      </c>
      <c r="H77" s="5">
        <v>20.17</v>
      </c>
      <c r="I77" s="6"/>
      <c r="J77" s="6" t="s">
        <v>54</v>
      </c>
      <c r="K77" s="5">
        <v>17.98</v>
      </c>
      <c r="L77" s="5">
        <v>18.84</v>
      </c>
      <c r="M77" s="6">
        <v>20.99</v>
      </c>
      <c r="N77" s="5">
        <v>20.9</v>
      </c>
      <c r="O77" s="18">
        <v>20.49</v>
      </c>
      <c r="P77" s="6">
        <v>24.47</v>
      </c>
      <c r="Q77" s="5">
        <v>20.17</v>
      </c>
      <c r="S77" s="3"/>
    </row>
    <row r="78" spans="1:19" ht="12.75">
      <c r="A78" s="48"/>
      <c r="B78" s="6"/>
      <c r="C78" s="6"/>
      <c r="D78" s="6"/>
      <c r="E78" s="5"/>
      <c r="F78" s="18"/>
      <c r="G78" s="6"/>
      <c r="H78" s="6"/>
      <c r="I78" s="6"/>
      <c r="J78" s="6"/>
      <c r="K78" s="6"/>
      <c r="L78" s="6"/>
      <c r="M78" s="6"/>
      <c r="N78" s="5"/>
      <c r="O78" s="18"/>
      <c r="P78" s="6"/>
      <c r="Q78" s="6"/>
      <c r="S78" s="3"/>
    </row>
    <row r="79" spans="1:19" ht="12.75">
      <c r="A79" s="48" t="s">
        <v>15</v>
      </c>
      <c r="B79" s="5">
        <v>0.88</v>
      </c>
      <c r="C79" s="5">
        <v>0.85</v>
      </c>
      <c r="D79" s="5">
        <v>1.38</v>
      </c>
      <c r="E79" s="5">
        <v>0.31</v>
      </c>
      <c r="F79" s="18">
        <v>0.31</v>
      </c>
      <c r="G79" s="5">
        <v>0.87</v>
      </c>
      <c r="H79" s="5">
        <v>1</v>
      </c>
      <c r="I79" s="6"/>
      <c r="J79" s="6" t="s">
        <v>15</v>
      </c>
      <c r="K79" s="5">
        <v>0.73</v>
      </c>
      <c r="L79" s="5">
        <v>0.9</v>
      </c>
      <c r="M79" s="5">
        <v>1.02</v>
      </c>
      <c r="N79" s="5">
        <v>0.86</v>
      </c>
      <c r="O79" s="18">
        <v>0.86</v>
      </c>
      <c r="P79" s="5">
        <v>0.87</v>
      </c>
      <c r="Q79" s="5">
        <v>1</v>
      </c>
      <c r="S79" s="3"/>
    </row>
    <row r="80" spans="1:19" ht="12.75">
      <c r="A80" s="48" t="s">
        <v>16</v>
      </c>
      <c r="B80" s="5">
        <v>13.2</v>
      </c>
      <c r="C80" s="5">
        <v>13.68</v>
      </c>
      <c r="D80" s="5">
        <v>14.53</v>
      </c>
      <c r="E80" s="5">
        <v>11.45</v>
      </c>
      <c r="F80" s="18">
        <v>12.03</v>
      </c>
      <c r="G80" s="5">
        <v>11.53</v>
      </c>
      <c r="H80" s="6">
        <v>12.24</v>
      </c>
      <c r="I80" s="6"/>
      <c r="J80" s="6" t="s">
        <v>16</v>
      </c>
      <c r="K80" s="5">
        <v>12.54</v>
      </c>
      <c r="L80" s="5">
        <v>11.3</v>
      </c>
      <c r="M80" s="5">
        <v>11.36</v>
      </c>
      <c r="N80" s="5">
        <v>11.05</v>
      </c>
      <c r="O80" s="18">
        <v>11.15</v>
      </c>
      <c r="P80" s="5">
        <v>11.53</v>
      </c>
      <c r="Q80" s="6">
        <v>12.24</v>
      </c>
      <c r="S80" s="3"/>
    </row>
    <row r="81" spans="1:19" ht="12.75">
      <c r="A81" s="48" t="s">
        <v>17</v>
      </c>
      <c r="B81" s="6">
        <v>4.95</v>
      </c>
      <c r="C81" s="6">
        <v>3.53</v>
      </c>
      <c r="D81" s="33">
        <v>0</v>
      </c>
      <c r="E81" s="5">
        <v>1.4</v>
      </c>
      <c r="F81" s="18">
        <v>1.16</v>
      </c>
      <c r="G81" s="6">
        <v>1.39</v>
      </c>
      <c r="H81" s="5">
        <v>1.22</v>
      </c>
      <c r="I81" s="6"/>
      <c r="J81" s="6" t="s">
        <v>17</v>
      </c>
      <c r="K81" s="6">
        <v>5.72</v>
      </c>
      <c r="L81" s="6">
        <v>3.06</v>
      </c>
      <c r="M81" s="6">
        <v>1.39</v>
      </c>
      <c r="N81" s="5">
        <v>1.81</v>
      </c>
      <c r="O81" s="18">
        <v>1.47</v>
      </c>
      <c r="P81" s="6">
        <v>1.39</v>
      </c>
      <c r="Q81" s="5">
        <v>1.22</v>
      </c>
      <c r="S81" s="3"/>
    </row>
    <row r="82" s="3" customFormat="1" ht="12.75"/>
    <row r="83" ht="12.75">
      <c r="S83" s="3"/>
    </row>
    <row r="84" ht="12.75">
      <c r="S84" s="3"/>
    </row>
  </sheetData>
  <printOptions gridLines="1"/>
  <pageMargins left="0.75" right="0.75" top="1" bottom="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4:AV114"/>
  <sheetViews>
    <sheetView workbookViewId="0" topLeftCell="B1">
      <selection activeCell="AQ10" sqref="AQ10"/>
    </sheetView>
  </sheetViews>
  <sheetFormatPr defaultColWidth="9.140625" defaultRowHeight="12.75"/>
  <cols>
    <col min="1" max="1" width="37.28125" style="0" customWidth="1"/>
    <col min="2" max="6" width="8.57421875" style="0" customWidth="1"/>
    <col min="7" max="7" width="12.7109375" style="0" customWidth="1"/>
    <col min="8" max="8" width="15.8515625" style="0" customWidth="1"/>
    <col min="9" max="9" width="9.140625" style="3" customWidth="1"/>
    <col min="10" max="10" width="38.140625" style="0" bestFit="1" customWidth="1"/>
    <col min="11" max="15" width="8.57421875" style="0" customWidth="1"/>
    <col min="16" max="16" width="11.421875" style="0" customWidth="1"/>
    <col min="17" max="17" width="17.421875" style="0" customWidth="1"/>
    <col min="18" max="18" width="9.140625" style="3" customWidth="1"/>
    <col min="19" max="19" width="38.140625" style="0" bestFit="1" customWidth="1"/>
    <col min="20" max="24" width="8.57421875" style="0" customWidth="1"/>
    <col min="25" max="25" width="12.7109375" style="0" customWidth="1"/>
    <col min="26" max="26" width="16.00390625" style="0" customWidth="1"/>
    <col min="27" max="27" width="12.421875" style="3" customWidth="1"/>
    <col min="28" max="28" width="38.140625" style="0" bestFit="1" customWidth="1"/>
    <col min="29" max="33" width="8.57421875" style="0" customWidth="1"/>
    <col min="34" max="34" width="12.7109375" style="0" customWidth="1"/>
    <col min="35" max="35" width="16.00390625" style="0" customWidth="1"/>
    <col min="36" max="36" width="9.140625" style="3" customWidth="1"/>
    <col min="37" max="37" width="38.140625" style="0" bestFit="1" customWidth="1"/>
    <col min="38" max="42" width="8.57421875" style="0" customWidth="1"/>
    <col min="43" max="43" width="12.7109375" style="0" customWidth="1"/>
    <col min="44" max="44" width="16.00390625" style="0" customWidth="1"/>
    <col min="45" max="45" width="9.140625" style="3" customWidth="1"/>
  </cols>
  <sheetData>
    <row r="4" spans="1:44" ht="12.75">
      <c r="A4" s="26" t="s">
        <v>21</v>
      </c>
      <c r="B4" s="27"/>
      <c r="C4" s="27"/>
      <c r="D4" s="27"/>
      <c r="E4" s="27"/>
      <c r="F4" s="27"/>
      <c r="G4" s="27"/>
      <c r="H4" s="26" t="s">
        <v>22</v>
      </c>
      <c r="J4" s="26" t="s">
        <v>21</v>
      </c>
      <c r="K4" s="27"/>
      <c r="L4" s="27"/>
      <c r="M4" s="27"/>
      <c r="N4" s="27"/>
      <c r="O4" s="27"/>
      <c r="P4" s="27"/>
      <c r="Q4" s="26" t="s">
        <v>23</v>
      </c>
      <c r="S4" s="26" t="s">
        <v>21</v>
      </c>
      <c r="T4" s="27"/>
      <c r="U4" s="27"/>
      <c r="V4" s="27"/>
      <c r="W4" s="27"/>
      <c r="X4" s="27"/>
      <c r="Y4" s="27"/>
      <c r="Z4" s="26" t="s">
        <v>24</v>
      </c>
      <c r="AB4" s="26" t="s">
        <v>21</v>
      </c>
      <c r="AC4" s="27"/>
      <c r="AD4" s="27"/>
      <c r="AE4" s="27"/>
      <c r="AF4" s="27"/>
      <c r="AG4" s="27"/>
      <c r="AH4" s="27"/>
      <c r="AI4" s="26" t="s">
        <v>25</v>
      </c>
      <c r="AK4" s="26" t="s">
        <v>21</v>
      </c>
      <c r="AL4" s="27"/>
      <c r="AM4" s="27"/>
      <c r="AN4" s="27"/>
      <c r="AO4" s="27"/>
      <c r="AP4" s="27"/>
      <c r="AQ4" s="26" t="s">
        <v>64</v>
      </c>
      <c r="AR4" s="27"/>
    </row>
    <row r="5" spans="7:48" s="40" customFormat="1" ht="11.25">
      <c r="G5" s="37"/>
      <c r="H5" s="36" t="s">
        <v>19</v>
      </c>
      <c r="P5" s="37"/>
      <c r="Q5" s="36" t="s">
        <v>19</v>
      </c>
      <c r="Y5" s="37"/>
      <c r="Z5" s="36" t="s">
        <v>19</v>
      </c>
      <c r="AI5" s="36" t="s">
        <v>19</v>
      </c>
      <c r="AR5" s="36" t="s">
        <v>19</v>
      </c>
      <c r="AT5" s="44"/>
      <c r="AU5" s="44"/>
      <c r="AV5" s="44"/>
    </row>
    <row r="6" spans="1:48" ht="12.75">
      <c r="A6" s="32" t="s">
        <v>4</v>
      </c>
      <c r="B6" s="17" t="s">
        <v>0</v>
      </c>
      <c r="C6" s="17" t="s">
        <v>1</v>
      </c>
      <c r="D6" s="17" t="s">
        <v>2</v>
      </c>
      <c r="E6" s="17" t="s">
        <v>3</v>
      </c>
      <c r="F6" s="17" t="s">
        <v>117</v>
      </c>
      <c r="G6" s="17" t="s">
        <v>53</v>
      </c>
      <c r="H6" s="17" t="s">
        <v>111</v>
      </c>
      <c r="J6" s="17" t="s">
        <v>4</v>
      </c>
      <c r="K6" s="17" t="s">
        <v>0</v>
      </c>
      <c r="L6" s="17" t="s">
        <v>1</v>
      </c>
      <c r="M6" s="17" t="s">
        <v>2</v>
      </c>
      <c r="N6" s="17" t="s">
        <v>3</v>
      </c>
      <c r="O6" s="17" t="s">
        <v>117</v>
      </c>
      <c r="P6" s="17" t="s">
        <v>53</v>
      </c>
      <c r="Q6" s="17" t="s">
        <v>111</v>
      </c>
      <c r="S6" s="17" t="s">
        <v>4</v>
      </c>
      <c r="T6" s="17" t="s">
        <v>0</v>
      </c>
      <c r="U6" s="17" t="s">
        <v>1</v>
      </c>
      <c r="V6" s="17" t="s">
        <v>2</v>
      </c>
      <c r="W6" s="17" t="s">
        <v>3</v>
      </c>
      <c r="X6" s="17" t="s">
        <v>117</v>
      </c>
      <c r="Y6" s="17" t="s">
        <v>53</v>
      </c>
      <c r="Z6" s="17" t="s">
        <v>111</v>
      </c>
      <c r="AB6" s="17" t="s">
        <v>4</v>
      </c>
      <c r="AC6" s="17" t="s">
        <v>0</v>
      </c>
      <c r="AD6" s="17" t="s">
        <v>1</v>
      </c>
      <c r="AE6" s="17" t="s">
        <v>2</v>
      </c>
      <c r="AF6" s="17" t="s">
        <v>3</v>
      </c>
      <c r="AG6" s="17" t="s">
        <v>117</v>
      </c>
      <c r="AH6" s="17" t="s">
        <v>53</v>
      </c>
      <c r="AI6" s="17" t="s">
        <v>111</v>
      </c>
      <c r="AK6" s="17" t="s">
        <v>4</v>
      </c>
      <c r="AL6" s="17" t="s">
        <v>0</v>
      </c>
      <c r="AM6" s="17" t="s">
        <v>1</v>
      </c>
      <c r="AN6" s="17" t="s">
        <v>2</v>
      </c>
      <c r="AO6" s="17" t="s">
        <v>3</v>
      </c>
      <c r="AP6" s="17" t="s">
        <v>117</v>
      </c>
      <c r="AQ6" s="17" t="s">
        <v>53</v>
      </c>
      <c r="AR6" s="17" t="s">
        <v>111</v>
      </c>
      <c r="AT6" s="4"/>
      <c r="AU6" s="4"/>
      <c r="AV6" s="43"/>
    </row>
    <row r="7" spans="1:48" ht="12.75">
      <c r="A7" s="32"/>
      <c r="B7" s="17"/>
      <c r="C7" s="17"/>
      <c r="D7" s="17"/>
      <c r="E7" s="17"/>
      <c r="F7" s="17"/>
      <c r="G7" s="28" t="s">
        <v>117</v>
      </c>
      <c r="H7" s="28" t="s">
        <v>117</v>
      </c>
      <c r="J7" s="17"/>
      <c r="K7" s="17"/>
      <c r="L7" s="17"/>
      <c r="M7" s="17"/>
      <c r="N7" s="17"/>
      <c r="O7" s="17"/>
      <c r="P7" s="28" t="s">
        <v>117</v>
      </c>
      <c r="Q7" s="28" t="s">
        <v>117</v>
      </c>
      <c r="S7" s="17"/>
      <c r="T7" s="17"/>
      <c r="U7" s="17"/>
      <c r="V7" s="17"/>
      <c r="W7" s="17"/>
      <c r="X7" s="17"/>
      <c r="Y7" s="28" t="s">
        <v>117</v>
      </c>
      <c r="Z7" s="28" t="s">
        <v>117</v>
      </c>
      <c r="AB7" s="17"/>
      <c r="AC7" s="17"/>
      <c r="AD7" s="17"/>
      <c r="AE7" s="17"/>
      <c r="AF7" s="17"/>
      <c r="AG7" s="17"/>
      <c r="AH7" s="28" t="s">
        <v>117</v>
      </c>
      <c r="AI7" s="28" t="s">
        <v>117</v>
      </c>
      <c r="AK7" s="17"/>
      <c r="AL7" s="17"/>
      <c r="AM7" s="17"/>
      <c r="AN7" s="17"/>
      <c r="AO7" s="17"/>
      <c r="AP7" s="17"/>
      <c r="AQ7" s="28" t="s">
        <v>117</v>
      </c>
      <c r="AR7" s="28" t="s">
        <v>117</v>
      </c>
      <c r="AT7" s="4"/>
      <c r="AU7" s="4"/>
      <c r="AV7" s="43"/>
    </row>
    <row r="8" spans="1:48" s="3" customFormat="1" ht="12.75">
      <c r="A8" s="3" t="s">
        <v>5</v>
      </c>
      <c r="B8" s="3">
        <v>1992</v>
      </c>
      <c r="C8" s="3">
        <v>2001</v>
      </c>
      <c r="D8" s="3">
        <v>2012</v>
      </c>
      <c r="E8" s="4">
        <v>2027</v>
      </c>
      <c r="F8" s="17">
        <v>2027</v>
      </c>
      <c r="G8" s="7">
        <f>35356/20</f>
        <v>1767.8</v>
      </c>
      <c r="H8" s="7">
        <f>(14039+35356+261+6746)/83</f>
        <v>679.5421686746988</v>
      </c>
      <c r="J8" s="3" t="s">
        <v>5</v>
      </c>
      <c r="K8" s="3">
        <v>1072</v>
      </c>
      <c r="L8" s="3">
        <v>1117</v>
      </c>
      <c r="M8" s="3">
        <v>1133</v>
      </c>
      <c r="N8" s="4">
        <v>1162</v>
      </c>
      <c r="O8" s="17">
        <v>1164</v>
      </c>
      <c r="P8" s="7">
        <f>35356/20</f>
        <v>1767.8</v>
      </c>
      <c r="Q8" s="7">
        <f>(14039+35356+261+6746)/83</f>
        <v>679.5421686746988</v>
      </c>
      <c r="S8" s="3" t="s">
        <v>5</v>
      </c>
      <c r="T8" s="3">
        <v>2718</v>
      </c>
      <c r="U8" s="3">
        <v>2798</v>
      </c>
      <c r="V8" s="3">
        <v>2770</v>
      </c>
      <c r="W8" s="4">
        <v>2775</v>
      </c>
      <c r="X8" s="17">
        <v>2776</v>
      </c>
      <c r="Y8" s="7">
        <f>35356/20</f>
        <v>1767.8</v>
      </c>
      <c r="Z8" s="7">
        <f>(14039+35356+261+6746)/83</f>
        <v>679.5421686746988</v>
      </c>
      <c r="AB8" s="3" t="s">
        <v>5</v>
      </c>
      <c r="AC8" s="3">
        <v>2643</v>
      </c>
      <c r="AD8" s="3">
        <v>2654</v>
      </c>
      <c r="AE8" s="3">
        <v>2653</v>
      </c>
      <c r="AF8" s="4">
        <v>2670</v>
      </c>
      <c r="AG8" s="17">
        <v>2678</v>
      </c>
      <c r="AH8" s="7">
        <f>35356/20</f>
        <v>1767.8</v>
      </c>
      <c r="AI8" s="7">
        <f>(14039+35356+261+6746)/83</f>
        <v>679.5421686746988</v>
      </c>
      <c r="AK8" s="3" t="s">
        <v>5</v>
      </c>
      <c r="AL8" s="3">
        <v>1257</v>
      </c>
      <c r="AM8" s="3">
        <v>1265</v>
      </c>
      <c r="AN8" s="3">
        <v>1311</v>
      </c>
      <c r="AO8" s="4">
        <v>1330</v>
      </c>
      <c r="AP8" s="17">
        <v>1336</v>
      </c>
      <c r="AQ8" s="7">
        <f>35356/20</f>
        <v>1767.8</v>
      </c>
      <c r="AR8" s="7">
        <f>(14039+35356+261+6746)/83</f>
        <v>679.5421686746988</v>
      </c>
      <c r="AT8" s="10"/>
      <c r="AU8" s="10"/>
      <c r="AV8" s="4"/>
    </row>
    <row r="9" spans="1:48" ht="12.75">
      <c r="A9" s="2" t="s">
        <v>6</v>
      </c>
      <c r="B9" s="3">
        <v>19860</v>
      </c>
      <c r="C9" s="3">
        <v>19515</v>
      </c>
      <c r="D9" s="3">
        <v>19284</v>
      </c>
      <c r="E9" s="4">
        <v>18917</v>
      </c>
      <c r="F9" s="17">
        <v>18742</v>
      </c>
      <c r="G9" s="7">
        <v>23375</v>
      </c>
      <c r="H9" s="7">
        <v>10458</v>
      </c>
      <c r="J9" s="3" t="s">
        <v>6</v>
      </c>
      <c r="K9" s="3">
        <v>12812</v>
      </c>
      <c r="L9" s="3">
        <v>12991</v>
      </c>
      <c r="M9" s="3">
        <v>13095</v>
      </c>
      <c r="N9" s="4">
        <v>13108</v>
      </c>
      <c r="O9" s="17">
        <v>13169</v>
      </c>
      <c r="P9" s="7">
        <v>23375</v>
      </c>
      <c r="Q9" s="7">
        <v>10458</v>
      </c>
      <c r="S9" s="3" t="s">
        <v>6</v>
      </c>
      <c r="T9" s="3">
        <v>38899</v>
      </c>
      <c r="U9" s="3">
        <v>40313</v>
      </c>
      <c r="V9" s="3">
        <v>39803</v>
      </c>
      <c r="W9" s="4">
        <v>39529</v>
      </c>
      <c r="X9" s="17">
        <v>38737</v>
      </c>
      <c r="Y9" s="7">
        <v>23375</v>
      </c>
      <c r="Z9" s="7">
        <v>10458</v>
      </c>
      <c r="AB9" s="3" t="s">
        <v>6</v>
      </c>
      <c r="AC9" s="3">
        <v>43420</v>
      </c>
      <c r="AD9" s="3">
        <v>43141</v>
      </c>
      <c r="AE9" s="3">
        <v>42574</v>
      </c>
      <c r="AF9" s="4">
        <v>42220</v>
      </c>
      <c r="AG9" s="17">
        <v>41808</v>
      </c>
      <c r="AH9" s="7">
        <v>23375</v>
      </c>
      <c r="AI9" s="7">
        <v>10458</v>
      </c>
      <c r="AK9" s="3" t="s">
        <v>6</v>
      </c>
      <c r="AL9" s="3">
        <v>14145</v>
      </c>
      <c r="AM9" s="3">
        <v>14047</v>
      </c>
      <c r="AN9" s="3">
        <v>14172</v>
      </c>
      <c r="AO9" s="4">
        <v>14126</v>
      </c>
      <c r="AP9" s="17">
        <v>14052</v>
      </c>
      <c r="AQ9" s="7">
        <v>23375</v>
      </c>
      <c r="AR9" s="7">
        <v>10458</v>
      </c>
      <c r="AT9" s="10"/>
      <c r="AU9" s="10"/>
      <c r="AV9" s="43"/>
    </row>
    <row r="10" spans="1:48" ht="12.75">
      <c r="A10" s="48" t="s">
        <v>20</v>
      </c>
      <c r="B10" s="6">
        <v>153</v>
      </c>
      <c r="C10" s="6">
        <v>183</v>
      </c>
      <c r="D10" s="6">
        <v>215</v>
      </c>
      <c r="E10" s="5">
        <v>282</v>
      </c>
      <c r="F10" s="18">
        <v>336</v>
      </c>
      <c r="G10" s="6">
        <v>388.17</v>
      </c>
      <c r="H10" s="6">
        <v>423.74</v>
      </c>
      <c r="I10" s="6"/>
      <c r="J10" s="6" t="s">
        <v>20</v>
      </c>
      <c r="K10" s="6">
        <v>195.96</v>
      </c>
      <c r="L10" s="6">
        <v>226.71</v>
      </c>
      <c r="M10" s="6">
        <v>277.35</v>
      </c>
      <c r="N10" s="5">
        <v>346.25</v>
      </c>
      <c r="O10" s="18">
        <v>426.75</v>
      </c>
      <c r="P10" s="6">
        <v>388.17</v>
      </c>
      <c r="Q10" s="6">
        <v>423.74</v>
      </c>
      <c r="R10" s="6"/>
      <c r="S10" s="6" t="s">
        <v>20</v>
      </c>
      <c r="T10" s="6">
        <v>222.76</v>
      </c>
      <c r="U10" s="6">
        <v>237.67</v>
      </c>
      <c r="V10" s="6">
        <v>252.51</v>
      </c>
      <c r="W10" s="5">
        <v>316</v>
      </c>
      <c r="X10" s="18">
        <v>396</v>
      </c>
      <c r="Y10" s="6">
        <v>388.17</v>
      </c>
      <c r="Z10" s="6">
        <v>423.74</v>
      </c>
      <c r="AA10" s="6"/>
      <c r="AB10" s="6" t="s">
        <v>20</v>
      </c>
      <c r="AC10" s="6">
        <v>218.74</v>
      </c>
      <c r="AD10" s="6">
        <v>242.97</v>
      </c>
      <c r="AE10" s="6">
        <v>266.72</v>
      </c>
      <c r="AF10" s="5">
        <v>320</v>
      </c>
      <c r="AG10" s="18">
        <v>381</v>
      </c>
      <c r="AH10" s="6">
        <v>388.17</v>
      </c>
      <c r="AI10" s="6">
        <v>423.74</v>
      </c>
      <c r="AJ10" s="6"/>
      <c r="AK10" s="6" t="s">
        <v>20</v>
      </c>
      <c r="AL10" s="6">
        <v>191.44</v>
      </c>
      <c r="AM10" s="6">
        <v>221.96</v>
      </c>
      <c r="AN10" s="6">
        <v>268.65</v>
      </c>
      <c r="AO10" s="5">
        <v>294.65</v>
      </c>
      <c r="AP10" s="18">
        <v>306.18</v>
      </c>
      <c r="AQ10" s="6">
        <v>388.17</v>
      </c>
      <c r="AR10" s="6">
        <v>423.74</v>
      </c>
      <c r="AS10" s="6"/>
      <c r="AT10" s="5"/>
      <c r="AU10" s="5"/>
      <c r="AV10" s="43"/>
    </row>
    <row r="11" spans="1:48" ht="12.75">
      <c r="A11" s="48" t="s">
        <v>56</v>
      </c>
      <c r="B11" s="6">
        <v>0.4</v>
      </c>
      <c r="C11" s="6">
        <v>0.87</v>
      </c>
      <c r="D11" s="5">
        <v>2.46</v>
      </c>
      <c r="E11" s="5">
        <v>2.86</v>
      </c>
      <c r="F11" s="18">
        <v>3.69</v>
      </c>
      <c r="G11" s="6">
        <v>2.26</v>
      </c>
      <c r="H11" s="6">
        <v>2.84</v>
      </c>
      <c r="I11" s="6"/>
      <c r="J11" s="6" t="s">
        <v>56</v>
      </c>
      <c r="K11" s="6">
        <v>1.58</v>
      </c>
      <c r="L11" s="6">
        <v>3.1</v>
      </c>
      <c r="M11" s="5">
        <v>3.54</v>
      </c>
      <c r="N11" s="5">
        <v>3.97</v>
      </c>
      <c r="O11" s="18">
        <v>3.69</v>
      </c>
      <c r="P11" s="6">
        <v>2.26</v>
      </c>
      <c r="Q11" s="6">
        <v>2.84</v>
      </c>
      <c r="R11" s="6"/>
      <c r="S11" s="6" t="s">
        <v>56</v>
      </c>
      <c r="T11" s="6">
        <v>1.4</v>
      </c>
      <c r="U11" s="6">
        <v>1.92</v>
      </c>
      <c r="V11" s="5">
        <v>2.43</v>
      </c>
      <c r="W11" s="5">
        <v>1.71</v>
      </c>
      <c r="X11" s="18">
        <v>2.13</v>
      </c>
      <c r="Y11" s="6">
        <v>2.26</v>
      </c>
      <c r="Z11" s="6">
        <v>2.84</v>
      </c>
      <c r="AA11" s="6"/>
      <c r="AB11" s="6" t="s">
        <v>56</v>
      </c>
      <c r="AC11" s="6">
        <v>1.16</v>
      </c>
      <c r="AD11" s="6">
        <v>1.97</v>
      </c>
      <c r="AE11" s="5">
        <v>2.35</v>
      </c>
      <c r="AF11" s="5">
        <v>0.8</v>
      </c>
      <c r="AG11" s="18">
        <v>1.66</v>
      </c>
      <c r="AH11" s="6">
        <v>2.26</v>
      </c>
      <c r="AI11" s="6">
        <v>2.84</v>
      </c>
      <c r="AJ11" s="6"/>
      <c r="AK11" s="6" t="s">
        <v>56</v>
      </c>
      <c r="AL11" s="6">
        <v>1.02</v>
      </c>
      <c r="AM11" s="6">
        <v>1.58</v>
      </c>
      <c r="AN11" s="5">
        <v>2.16</v>
      </c>
      <c r="AO11" s="5">
        <v>1.25</v>
      </c>
      <c r="AP11" s="18">
        <v>0.36</v>
      </c>
      <c r="AQ11" s="6">
        <v>2.26</v>
      </c>
      <c r="AR11" s="6">
        <v>2.84</v>
      </c>
      <c r="AS11" s="6"/>
      <c r="AT11" s="5"/>
      <c r="AU11" s="5"/>
      <c r="AV11" s="43"/>
    </row>
    <row r="12" spans="1:48" ht="12.75">
      <c r="A12" s="2"/>
      <c r="B12" s="3"/>
      <c r="C12" s="3"/>
      <c r="D12" s="3"/>
      <c r="E12" s="4"/>
      <c r="F12" s="17"/>
      <c r="G12" s="3"/>
      <c r="H12" s="3"/>
      <c r="J12" s="3"/>
      <c r="K12" s="3"/>
      <c r="L12" s="3"/>
      <c r="M12" s="3"/>
      <c r="N12" s="4"/>
      <c r="O12" s="17"/>
      <c r="P12" s="3"/>
      <c r="Q12" s="3"/>
      <c r="S12" s="3"/>
      <c r="T12" s="3"/>
      <c r="U12" s="3"/>
      <c r="V12" s="3"/>
      <c r="W12" s="4"/>
      <c r="X12" s="17"/>
      <c r="Y12" s="3"/>
      <c r="Z12" s="3"/>
      <c r="AB12" s="3"/>
      <c r="AC12" s="3"/>
      <c r="AD12" s="3"/>
      <c r="AE12" s="3"/>
      <c r="AF12" s="4"/>
      <c r="AG12" s="17"/>
      <c r="AH12" s="3"/>
      <c r="AI12" s="3"/>
      <c r="AK12" s="3"/>
      <c r="AL12" s="3"/>
      <c r="AM12" s="3"/>
      <c r="AN12" s="3"/>
      <c r="AO12" s="4"/>
      <c r="AP12" s="17"/>
      <c r="AQ12" s="3"/>
      <c r="AR12" s="3"/>
      <c r="AT12" s="4"/>
      <c r="AU12" s="4"/>
      <c r="AV12" s="43"/>
    </row>
    <row r="13" spans="1:48" ht="12.75">
      <c r="A13" s="2" t="s">
        <v>119</v>
      </c>
      <c r="B13" s="3">
        <f>247+734</f>
        <v>981</v>
      </c>
      <c r="C13" s="3">
        <f>347+824</f>
        <v>1171</v>
      </c>
      <c r="D13" s="3">
        <f>347+1205</f>
        <v>1552</v>
      </c>
      <c r="E13" s="4">
        <f>347+1981</f>
        <v>2328</v>
      </c>
      <c r="F13" s="17">
        <v>3639</v>
      </c>
      <c r="G13" s="7">
        <f>(11294+66090)/20</f>
        <v>3869.2</v>
      </c>
      <c r="H13" s="7">
        <f>(25180+157847)/83</f>
        <v>2205.144578313253</v>
      </c>
      <c r="J13" s="3" t="s">
        <v>119</v>
      </c>
      <c r="K13" s="3">
        <f>450+434</f>
        <v>884</v>
      </c>
      <c r="L13" s="3">
        <f>400+715</f>
        <v>1115</v>
      </c>
      <c r="M13" s="3">
        <f>400+1053</f>
        <v>1453</v>
      </c>
      <c r="N13" s="4">
        <f>400+1437</f>
        <v>1837</v>
      </c>
      <c r="O13" s="17">
        <v>2894</v>
      </c>
      <c r="P13" s="7">
        <f>(11294+66090)/20</f>
        <v>3869.2</v>
      </c>
      <c r="Q13" s="7">
        <f>(25180+157847)/83</f>
        <v>2205.144578313253</v>
      </c>
      <c r="S13" s="3" t="s">
        <v>119</v>
      </c>
      <c r="T13" s="3">
        <f>294+3533</f>
        <v>3827</v>
      </c>
      <c r="U13" s="3">
        <f>294+4093</f>
        <v>4387</v>
      </c>
      <c r="V13" s="3">
        <f>295+4836</f>
        <v>5131</v>
      </c>
      <c r="W13" s="4">
        <f>295+5333</f>
        <v>5628</v>
      </c>
      <c r="X13" s="17">
        <v>7844</v>
      </c>
      <c r="Y13" s="7">
        <f>(11294+66090)/20</f>
        <v>3869.2</v>
      </c>
      <c r="Z13" s="7">
        <f>(25180+157847)/83</f>
        <v>2205.144578313253</v>
      </c>
      <c r="AB13" s="3" t="s">
        <v>119</v>
      </c>
      <c r="AC13" s="3">
        <f>488+2357</f>
        <v>2845</v>
      </c>
      <c r="AD13" s="3">
        <f>488+3053</f>
        <v>3541</v>
      </c>
      <c r="AE13" s="3">
        <f>488+3522</f>
        <v>4010</v>
      </c>
      <c r="AF13" s="4">
        <f>488+3977</f>
        <v>4465</v>
      </c>
      <c r="AG13" s="17">
        <v>4984</v>
      </c>
      <c r="AH13" s="7">
        <f>(11294+66090)/20</f>
        <v>3869.2</v>
      </c>
      <c r="AI13" s="7">
        <f>(25180+157847)/83</f>
        <v>2205.144578313253</v>
      </c>
      <c r="AK13" s="3" t="s">
        <v>119</v>
      </c>
      <c r="AL13" s="3">
        <f>331+367</f>
        <v>698</v>
      </c>
      <c r="AM13" s="3">
        <f>331+650</f>
        <v>981</v>
      </c>
      <c r="AN13" s="3">
        <f>431+1005</f>
        <v>1436</v>
      </c>
      <c r="AO13" s="4">
        <f>431+1112</f>
        <v>1543</v>
      </c>
      <c r="AP13" s="17">
        <v>1572</v>
      </c>
      <c r="AQ13" s="7">
        <f>(11294+66090)/20</f>
        <v>3869.2</v>
      </c>
      <c r="AR13" s="7">
        <f>(25180+157847)/83</f>
        <v>2205.144578313253</v>
      </c>
      <c r="AT13" s="10"/>
      <c r="AU13" s="10"/>
      <c r="AV13" s="43"/>
    </row>
    <row r="14" spans="1:48" ht="12.75">
      <c r="A14" s="2" t="s">
        <v>7</v>
      </c>
      <c r="B14" s="3">
        <v>22666</v>
      </c>
      <c r="C14" s="3">
        <v>25463</v>
      </c>
      <c r="D14" s="4">
        <v>31477</v>
      </c>
      <c r="E14" s="4">
        <v>40762</v>
      </c>
      <c r="F14" s="17">
        <v>48500</v>
      </c>
      <c r="G14" s="7">
        <f>1080072/20</f>
        <v>54003.6</v>
      </c>
      <c r="H14" s="7">
        <f>2162472/83</f>
        <v>26053.87951807229</v>
      </c>
      <c r="J14" s="3" t="s">
        <v>7</v>
      </c>
      <c r="K14" s="3">
        <v>18491</v>
      </c>
      <c r="L14" s="3">
        <v>21062</v>
      </c>
      <c r="M14" s="4">
        <v>22941</v>
      </c>
      <c r="N14" s="4">
        <v>27551</v>
      </c>
      <c r="O14" s="17">
        <v>33922</v>
      </c>
      <c r="P14" s="7">
        <f>1080072/20</f>
        <v>54003.6</v>
      </c>
      <c r="Q14" s="7">
        <f>2162472/83</f>
        <v>26053.87951807229</v>
      </c>
      <c r="S14" s="3" t="s">
        <v>7</v>
      </c>
      <c r="T14" s="3">
        <v>61804</v>
      </c>
      <c r="U14" s="3">
        <v>66441</v>
      </c>
      <c r="V14" s="4">
        <v>72967</v>
      </c>
      <c r="W14" s="4">
        <v>81333</v>
      </c>
      <c r="X14" s="17">
        <v>93662</v>
      </c>
      <c r="Y14" s="7">
        <f>1080072/20</f>
        <v>54003.6</v>
      </c>
      <c r="Z14" s="7">
        <f>2162472/83</f>
        <v>26053.87951807229</v>
      </c>
      <c r="AB14" s="3" t="s">
        <v>7</v>
      </c>
      <c r="AC14" s="3">
        <v>59589</v>
      </c>
      <c r="AD14" s="3">
        <v>64098</v>
      </c>
      <c r="AE14" s="4">
        <v>71482</v>
      </c>
      <c r="AF14" s="4">
        <v>78821</v>
      </c>
      <c r="AG14" s="17">
        <v>93932</v>
      </c>
      <c r="AH14" s="7">
        <f>1080072/20</f>
        <v>54003.6</v>
      </c>
      <c r="AI14" s="7">
        <f>2162472/83</f>
        <v>26053.87951807229</v>
      </c>
      <c r="AK14" s="3" t="s">
        <v>7</v>
      </c>
      <c r="AL14" s="3">
        <v>19131</v>
      </c>
      <c r="AM14" s="3">
        <v>22176</v>
      </c>
      <c r="AN14" s="3">
        <v>26446</v>
      </c>
      <c r="AO14" s="4">
        <v>28844</v>
      </c>
      <c r="AP14" s="17">
        <v>26906</v>
      </c>
      <c r="AQ14" s="7">
        <f>1080072/20</f>
        <v>54003.6</v>
      </c>
      <c r="AR14" s="7">
        <f>2162472/83</f>
        <v>26053.87951807229</v>
      </c>
      <c r="AT14" s="10"/>
      <c r="AU14" s="10"/>
      <c r="AV14" s="43"/>
    </row>
    <row r="15" spans="1:48" ht="12.75">
      <c r="A15" s="2" t="s">
        <v>8</v>
      </c>
      <c r="B15" s="3">
        <v>10854</v>
      </c>
      <c r="C15" s="3">
        <v>12372</v>
      </c>
      <c r="D15" s="4">
        <v>15555</v>
      </c>
      <c r="E15" s="4">
        <v>18988</v>
      </c>
      <c r="F15" s="17">
        <v>17985</v>
      </c>
      <c r="G15" s="7">
        <f>408795/20</f>
        <v>20439.75</v>
      </c>
      <c r="H15" s="7">
        <f>866961/83</f>
        <v>10445.313253012047</v>
      </c>
      <c r="J15" s="3" t="s">
        <v>8</v>
      </c>
      <c r="K15" s="3">
        <v>8419</v>
      </c>
      <c r="L15" s="3">
        <v>10518</v>
      </c>
      <c r="M15" s="4">
        <v>10317</v>
      </c>
      <c r="N15" s="4">
        <v>10646</v>
      </c>
      <c r="O15" s="17">
        <v>11444</v>
      </c>
      <c r="P15" s="7">
        <f>408795/20</f>
        <v>20439.75</v>
      </c>
      <c r="Q15" s="7">
        <f>866961/83</f>
        <v>10445.313253012047</v>
      </c>
      <c r="S15" s="3" t="s">
        <v>8</v>
      </c>
      <c r="T15" s="3">
        <v>23833</v>
      </c>
      <c r="U15" s="3">
        <v>30179</v>
      </c>
      <c r="V15" s="4">
        <v>38019</v>
      </c>
      <c r="W15" s="4">
        <v>37074</v>
      </c>
      <c r="X15" s="17">
        <v>35114</v>
      </c>
      <c r="Y15" s="7">
        <f>408795/20</f>
        <v>20439.75</v>
      </c>
      <c r="Z15" s="7">
        <f>866961/83</f>
        <v>10445.313253012047</v>
      </c>
      <c r="AB15" s="3" t="s">
        <v>8</v>
      </c>
      <c r="AC15" s="3">
        <v>22084</v>
      </c>
      <c r="AD15" s="3">
        <v>24435</v>
      </c>
      <c r="AE15" s="4">
        <v>27163</v>
      </c>
      <c r="AF15" s="4">
        <v>28686</v>
      </c>
      <c r="AG15" s="17">
        <v>31782</v>
      </c>
      <c r="AH15" s="7">
        <f>408795/20</f>
        <v>20439.75</v>
      </c>
      <c r="AI15" s="7">
        <f>866961/83</f>
        <v>10445.313253012047</v>
      </c>
      <c r="AK15" s="3" t="s">
        <v>8</v>
      </c>
      <c r="AL15" s="3">
        <v>9909</v>
      </c>
      <c r="AM15" s="3">
        <v>11802</v>
      </c>
      <c r="AN15" s="3">
        <v>14092</v>
      </c>
      <c r="AO15" s="4">
        <v>14480</v>
      </c>
      <c r="AP15" s="17">
        <v>11354</v>
      </c>
      <c r="AQ15" s="7">
        <f>408795/20</f>
        <v>20439.75</v>
      </c>
      <c r="AR15" s="7">
        <f>866961/83</f>
        <v>10445.313253012047</v>
      </c>
      <c r="AT15" s="10"/>
      <c r="AU15" s="10"/>
      <c r="AV15" s="43"/>
    </row>
    <row r="16" spans="1:48" ht="12.75">
      <c r="A16" s="2" t="s">
        <v>9</v>
      </c>
      <c r="B16" s="3">
        <v>10482</v>
      </c>
      <c r="C16" s="3">
        <v>12544</v>
      </c>
      <c r="D16" s="4">
        <v>15342</v>
      </c>
      <c r="E16" s="4">
        <v>21151</v>
      </c>
      <c r="F16" s="17">
        <v>29148</v>
      </c>
      <c r="G16" s="7">
        <f>734609/20</f>
        <v>36730.45</v>
      </c>
      <c r="H16" s="7">
        <f>1515667/83</f>
        <v>18261.048192771083</v>
      </c>
      <c r="J16" s="3" t="s">
        <v>9</v>
      </c>
      <c r="K16" s="3">
        <v>9678</v>
      </c>
      <c r="L16" s="3">
        <v>11513</v>
      </c>
      <c r="M16" s="4">
        <v>12885</v>
      </c>
      <c r="N16" s="4">
        <v>17517</v>
      </c>
      <c r="O16" s="17">
        <v>22100</v>
      </c>
      <c r="P16" s="7">
        <f>734609/20</f>
        <v>36730.45</v>
      </c>
      <c r="Q16" s="7">
        <f>1515667/83</f>
        <v>18261.048192771083</v>
      </c>
      <c r="S16" s="3" t="s">
        <v>9</v>
      </c>
      <c r="T16" s="3">
        <v>33663</v>
      </c>
      <c r="U16" s="3">
        <v>35348</v>
      </c>
      <c r="V16" s="4">
        <v>35601</v>
      </c>
      <c r="W16" s="4">
        <v>43400</v>
      </c>
      <c r="X16" s="17">
        <v>59912</v>
      </c>
      <c r="Y16" s="7">
        <f>734609/20</f>
        <v>36730.45</v>
      </c>
      <c r="Z16" s="7">
        <f>1515667/83</f>
        <v>18261.048192771083</v>
      </c>
      <c r="AB16" s="3" t="s">
        <v>9</v>
      </c>
      <c r="AC16" s="3">
        <v>38311</v>
      </c>
      <c r="AD16" s="3">
        <v>42633</v>
      </c>
      <c r="AE16" s="4">
        <v>45856</v>
      </c>
      <c r="AF16" s="4">
        <v>55529</v>
      </c>
      <c r="AG16" s="17">
        <v>65174</v>
      </c>
      <c r="AH16" s="7">
        <f>734609/20</f>
        <v>36730.45</v>
      </c>
      <c r="AI16" s="7">
        <f>1515667/83</f>
        <v>18261.048192771083</v>
      </c>
      <c r="AK16" s="3" t="s">
        <v>9</v>
      </c>
      <c r="AL16" s="3">
        <v>8255</v>
      </c>
      <c r="AM16" s="3">
        <v>9508</v>
      </c>
      <c r="AN16" s="3">
        <v>11732</v>
      </c>
      <c r="AO16" s="4">
        <v>13062</v>
      </c>
      <c r="AP16" s="17">
        <v>16470</v>
      </c>
      <c r="AQ16" s="7">
        <f>734609/20</f>
        <v>36730.45</v>
      </c>
      <c r="AR16" s="7">
        <f>1515667/83</f>
        <v>18261.048192771083</v>
      </c>
      <c r="AT16" s="10"/>
      <c r="AU16" s="10"/>
      <c r="AV16" s="43"/>
    </row>
    <row r="17" spans="1:48" ht="12.75">
      <c r="A17" s="2"/>
      <c r="B17" s="3"/>
      <c r="C17" s="3"/>
      <c r="D17" s="3"/>
      <c r="E17" s="4"/>
      <c r="F17" s="17"/>
      <c r="G17" s="7"/>
      <c r="H17" s="7"/>
      <c r="J17" s="3"/>
      <c r="K17" s="3"/>
      <c r="L17" s="3"/>
      <c r="M17" s="3"/>
      <c r="N17" s="4"/>
      <c r="O17" s="17"/>
      <c r="P17" s="7"/>
      <c r="Q17" s="7"/>
      <c r="S17" s="3"/>
      <c r="T17" s="3"/>
      <c r="U17" s="3"/>
      <c r="V17" s="3"/>
      <c r="W17" s="4"/>
      <c r="X17" s="17"/>
      <c r="Y17" s="7"/>
      <c r="Z17" s="7"/>
      <c r="AB17" s="3"/>
      <c r="AC17" s="3"/>
      <c r="AD17" s="3"/>
      <c r="AE17" s="3"/>
      <c r="AF17" s="4"/>
      <c r="AG17" s="17"/>
      <c r="AH17" s="7"/>
      <c r="AI17" s="7"/>
      <c r="AK17" s="3"/>
      <c r="AL17" s="3"/>
      <c r="AM17" s="3"/>
      <c r="AN17" s="3"/>
      <c r="AO17" s="4"/>
      <c r="AP17" s="17"/>
      <c r="AQ17" s="7"/>
      <c r="AR17" s="7"/>
      <c r="AT17" s="10"/>
      <c r="AU17" s="10"/>
      <c r="AV17" s="43"/>
    </row>
    <row r="18" spans="1:48" ht="12.75">
      <c r="A18" s="2" t="s">
        <v>10</v>
      </c>
      <c r="B18" s="4">
        <v>2273</v>
      </c>
      <c r="C18" s="4">
        <v>2570</v>
      </c>
      <c r="D18" s="3">
        <v>2669</v>
      </c>
      <c r="E18" s="4">
        <v>3186</v>
      </c>
      <c r="F18" s="17">
        <v>3767</v>
      </c>
      <c r="G18" s="7">
        <f>88499/20</f>
        <v>4424.95</v>
      </c>
      <c r="H18" s="7">
        <f>184377/83</f>
        <v>2221.409638554217</v>
      </c>
      <c r="J18" s="3" t="s">
        <v>10</v>
      </c>
      <c r="K18" s="4">
        <v>2030</v>
      </c>
      <c r="L18" s="4">
        <v>2195</v>
      </c>
      <c r="M18" s="3">
        <v>2227</v>
      </c>
      <c r="N18" s="4">
        <v>2282</v>
      </c>
      <c r="O18" s="17">
        <v>2674</v>
      </c>
      <c r="P18" s="7">
        <f>88499/20</f>
        <v>4424.95</v>
      </c>
      <c r="Q18" s="7">
        <f>184377/83</f>
        <v>2221.409638554217</v>
      </c>
      <c r="S18" s="3" t="s">
        <v>10</v>
      </c>
      <c r="T18" s="4">
        <v>5956</v>
      </c>
      <c r="U18" s="4">
        <v>6098</v>
      </c>
      <c r="V18" s="3">
        <v>6147</v>
      </c>
      <c r="W18" s="4">
        <v>6431</v>
      </c>
      <c r="X18" s="17">
        <v>7100</v>
      </c>
      <c r="Y18" s="7">
        <f>88499/20</f>
        <v>4424.95</v>
      </c>
      <c r="Z18" s="7">
        <f>184377/83</f>
        <v>2221.409638554217</v>
      </c>
      <c r="AB18" s="3" t="s">
        <v>10</v>
      </c>
      <c r="AC18" s="4">
        <v>5594</v>
      </c>
      <c r="AD18" s="4">
        <v>5928</v>
      </c>
      <c r="AE18" s="3">
        <v>5796</v>
      </c>
      <c r="AF18" s="4">
        <v>6032</v>
      </c>
      <c r="AG18" s="17">
        <v>7029</v>
      </c>
      <c r="AH18" s="7">
        <f>88499/20</f>
        <v>4424.95</v>
      </c>
      <c r="AI18" s="7">
        <f>184377/83</f>
        <v>2221.409638554217</v>
      </c>
      <c r="AK18" s="3" t="s">
        <v>10</v>
      </c>
      <c r="AL18" s="4">
        <v>1998</v>
      </c>
      <c r="AM18" s="4">
        <v>2082</v>
      </c>
      <c r="AN18" s="3">
        <v>2199</v>
      </c>
      <c r="AO18" s="4">
        <v>2368</v>
      </c>
      <c r="AP18" s="17">
        <v>2349</v>
      </c>
      <c r="AQ18" s="7">
        <f>88499/20</f>
        <v>4424.95</v>
      </c>
      <c r="AR18" s="7">
        <f>184377/83</f>
        <v>2221.409638554217</v>
      </c>
      <c r="AT18" s="10"/>
      <c r="AU18" s="10"/>
      <c r="AV18" s="43"/>
    </row>
    <row r="19" spans="1:48" ht="12.75">
      <c r="A19" s="2" t="s">
        <v>11</v>
      </c>
      <c r="B19" s="4">
        <v>385</v>
      </c>
      <c r="C19" s="4">
        <v>524</v>
      </c>
      <c r="D19" s="3">
        <v>750</v>
      </c>
      <c r="E19" s="4">
        <v>640</v>
      </c>
      <c r="F19" s="17">
        <v>607</v>
      </c>
      <c r="G19" s="7">
        <f>13538/20</f>
        <v>676.9</v>
      </c>
      <c r="H19" s="7">
        <f>37693/83</f>
        <v>454.13253012048193</v>
      </c>
      <c r="J19" s="3" t="s">
        <v>11</v>
      </c>
      <c r="K19" s="4">
        <v>304</v>
      </c>
      <c r="L19" s="4">
        <v>604</v>
      </c>
      <c r="M19" s="3">
        <v>678</v>
      </c>
      <c r="N19" s="4">
        <v>753</v>
      </c>
      <c r="O19" s="17">
        <v>458</v>
      </c>
      <c r="P19" s="7">
        <f>13538/20</f>
        <v>676.9</v>
      </c>
      <c r="Q19" s="7">
        <f>37693/83</f>
        <v>454.13253012048193</v>
      </c>
      <c r="S19" s="3" t="s">
        <v>11</v>
      </c>
      <c r="T19" s="4">
        <v>993</v>
      </c>
      <c r="U19" s="4">
        <v>1262</v>
      </c>
      <c r="V19" s="3">
        <v>1719</v>
      </c>
      <c r="W19" s="4">
        <v>1313</v>
      </c>
      <c r="X19" s="17">
        <v>1192</v>
      </c>
      <c r="Y19" s="7">
        <f>13538/20</f>
        <v>676.9</v>
      </c>
      <c r="Z19" s="7">
        <f>37693/83</f>
        <v>454.13253012048193</v>
      </c>
      <c r="AB19" s="3" t="s">
        <v>11</v>
      </c>
      <c r="AC19" s="4">
        <v>1103</v>
      </c>
      <c r="AD19" s="4">
        <v>1642</v>
      </c>
      <c r="AE19" s="3">
        <v>1792</v>
      </c>
      <c r="AF19" s="4">
        <v>1156</v>
      </c>
      <c r="AG19" s="17">
        <v>1185</v>
      </c>
      <c r="AH19" s="7">
        <f>13538/20</f>
        <v>676.9</v>
      </c>
      <c r="AI19" s="7">
        <f>37693/83</f>
        <v>454.13253012048193</v>
      </c>
      <c r="AK19" s="3" t="s">
        <v>11</v>
      </c>
      <c r="AL19" s="4">
        <v>308</v>
      </c>
      <c r="AM19" s="4">
        <v>360</v>
      </c>
      <c r="AN19" s="3">
        <v>470</v>
      </c>
      <c r="AO19" s="4">
        <v>385</v>
      </c>
      <c r="AP19" s="17">
        <v>177</v>
      </c>
      <c r="AQ19" s="7">
        <f>13538/20</f>
        <v>676.9</v>
      </c>
      <c r="AR19" s="7">
        <f>37693/83</f>
        <v>454.13253012048193</v>
      </c>
      <c r="AT19" s="10"/>
      <c r="AU19" s="10"/>
      <c r="AV19" s="43"/>
    </row>
    <row r="20" spans="1:48" ht="12.75">
      <c r="A20" s="2" t="s">
        <v>12</v>
      </c>
      <c r="B20" s="4">
        <v>1542</v>
      </c>
      <c r="C20" s="4">
        <v>1661</v>
      </c>
      <c r="D20" s="3">
        <v>1583</v>
      </c>
      <c r="E20" s="4">
        <v>1822</v>
      </c>
      <c r="F20" s="17">
        <v>2190</v>
      </c>
      <c r="G20" s="7">
        <f>52463/20</f>
        <v>2623.15</v>
      </c>
      <c r="H20" s="7">
        <f>106836/83</f>
        <v>1287.1807228915663</v>
      </c>
      <c r="J20" s="3" t="s">
        <v>12</v>
      </c>
      <c r="K20" s="4">
        <v>1454</v>
      </c>
      <c r="L20" s="4">
        <v>1442</v>
      </c>
      <c r="M20" s="3">
        <v>1317</v>
      </c>
      <c r="N20" s="4">
        <v>1213</v>
      </c>
      <c r="O20" s="17">
        <v>1505</v>
      </c>
      <c r="P20" s="7">
        <f>52463/20</f>
        <v>2623.15</v>
      </c>
      <c r="Q20" s="7">
        <f>106836/83</f>
        <v>1287.1807228915663</v>
      </c>
      <c r="S20" s="3" t="s">
        <v>12</v>
      </c>
      <c r="T20" s="4">
        <v>4076</v>
      </c>
      <c r="U20" s="4">
        <v>3994</v>
      </c>
      <c r="V20" s="3">
        <v>3575</v>
      </c>
      <c r="W20" s="4">
        <v>3452</v>
      </c>
      <c r="X20" s="17">
        <v>3875</v>
      </c>
      <c r="Y20" s="7">
        <f>52463/20</f>
        <v>2623.15</v>
      </c>
      <c r="Z20" s="7">
        <f>106836/83</f>
        <v>1287.1807228915663</v>
      </c>
      <c r="AB20" s="3" t="s">
        <v>12</v>
      </c>
      <c r="AC20" s="4">
        <v>3769</v>
      </c>
      <c r="AD20" s="4">
        <v>3892</v>
      </c>
      <c r="AE20" s="3">
        <v>3594</v>
      </c>
      <c r="AF20" s="4">
        <v>3795</v>
      </c>
      <c r="AG20" s="17">
        <v>4397</v>
      </c>
      <c r="AH20" s="7">
        <f>52463/20</f>
        <v>2623.15</v>
      </c>
      <c r="AI20" s="7">
        <f>106836/83</f>
        <v>1287.1807228915663</v>
      </c>
      <c r="AK20" s="3" t="s">
        <v>12</v>
      </c>
      <c r="AL20" s="4">
        <v>1411</v>
      </c>
      <c r="AM20" s="4">
        <v>1405</v>
      </c>
      <c r="AN20" s="3">
        <v>1432</v>
      </c>
      <c r="AO20" s="4">
        <v>1486</v>
      </c>
      <c r="AP20" s="17">
        <v>1503</v>
      </c>
      <c r="AQ20" s="7">
        <f>52463/20</f>
        <v>2623.15</v>
      </c>
      <c r="AR20" s="7">
        <f>106836/83</f>
        <v>1287.1807228915663</v>
      </c>
      <c r="AT20" s="10"/>
      <c r="AU20" s="10"/>
      <c r="AV20" s="43"/>
    </row>
    <row r="21" spans="1:48" ht="12.75">
      <c r="A21" s="2" t="s">
        <v>13</v>
      </c>
      <c r="B21" s="4">
        <v>707</v>
      </c>
      <c r="C21" s="4">
        <v>918</v>
      </c>
      <c r="D21" s="4">
        <v>959</v>
      </c>
      <c r="E21" s="4">
        <v>1070</v>
      </c>
      <c r="F21" s="17">
        <v>1160</v>
      </c>
      <c r="G21" s="7">
        <f>25761/20</f>
        <v>1288.05</v>
      </c>
      <c r="H21" s="7">
        <f>58664/83</f>
        <v>706.7951807228916</v>
      </c>
      <c r="J21" s="3" t="s">
        <v>13</v>
      </c>
      <c r="K21" s="4">
        <v>454</v>
      </c>
      <c r="L21" s="4">
        <v>602</v>
      </c>
      <c r="M21" s="4">
        <v>658</v>
      </c>
      <c r="N21" s="4">
        <v>829</v>
      </c>
      <c r="O21" s="17">
        <v>858</v>
      </c>
      <c r="P21" s="7">
        <f>25761/20</f>
        <v>1288.05</v>
      </c>
      <c r="Q21" s="7">
        <f>58664/83</f>
        <v>706.7951807228916</v>
      </c>
      <c r="S21" s="3" t="s">
        <v>13</v>
      </c>
      <c r="T21" s="4">
        <v>1563</v>
      </c>
      <c r="U21" s="4">
        <v>1648</v>
      </c>
      <c r="V21" s="4">
        <v>1805</v>
      </c>
      <c r="W21" s="4">
        <v>1980</v>
      </c>
      <c r="X21" s="17">
        <v>2385</v>
      </c>
      <c r="Y21" s="7">
        <f>25761/20</f>
        <v>1288.05</v>
      </c>
      <c r="Z21" s="7">
        <f>58664/83</f>
        <v>706.7951807228916</v>
      </c>
      <c r="AB21" s="3" t="s">
        <v>13</v>
      </c>
      <c r="AC21" s="4">
        <v>1531</v>
      </c>
      <c r="AD21" s="4">
        <v>1649</v>
      </c>
      <c r="AE21" s="4">
        <v>1752</v>
      </c>
      <c r="AF21" s="4">
        <v>1932</v>
      </c>
      <c r="AG21" s="17">
        <v>2115</v>
      </c>
      <c r="AH21" s="7">
        <f>25761/20</f>
        <v>1288.05</v>
      </c>
      <c r="AI21" s="7">
        <f>58664/83</f>
        <v>706.7951807228916</v>
      </c>
      <c r="AK21" s="3" t="s">
        <v>13</v>
      </c>
      <c r="AL21" s="4">
        <v>479</v>
      </c>
      <c r="AM21" s="4">
        <v>516</v>
      </c>
      <c r="AN21" s="4">
        <v>560</v>
      </c>
      <c r="AO21" s="4">
        <v>720</v>
      </c>
      <c r="AP21" s="17">
        <v>659</v>
      </c>
      <c r="AQ21" s="7">
        <f>25761/20</f>
        <v>1288.05</v>
      </c>
      <c r="AR21" s="7">
        <f>58664/83</f>
        <v>706.7951807228916</v>
      </c>
      <c r="AT21" s="10"/>
      <c r="AU21" s="10"/>
      <c r="AV21" s="43"/>
    </row>
    <row r="22" spans="1:48" ht="12.75">
      <c r="A22" s="2"/>
      <c r="B22" s="3"/>
      <c r="C22" s="3"/>
      <c r="D22" s="3"/>
      <c r="E22" s="4"/>
      <c r="F22" s="17"/>
      <c r="G22" s="3"/>
      <c r="H22" s="3"/>
      <c r="J22" s="3"/>
      <c r="K22" s="3"/>
      <c r="L22" s="3"/>
      <c r="M22" s="3"/>
      <c r="N22" s="4"/>
      <c r="O22" s="17"/>
      <c r="P22" s="3"/>
      <c r="Q22" s="3"/>
      <c r="S22" s="3"/>
      <c r="T22" s="3"/>
      <c r="U22" s="3"/>
      <c r="V22" s="3"/>
      <c r="W22" s="4"/>
      <c r="X22" s="17"/>
      <c r="Y22" s="3"/>
      <c r="Z22" s="3"/>
      <c r="AB22" s="3"/>
      <c r="AC22" s="3"/>
      <c r="AD22" s="3"/>
      <c r="AE22" s="3"/>
      <c r="AF22" s="4"/>
      <c r="AG22" s="17"/>
      <c r="AH22" s="3"/>
      <c r="AI22" s="3"/>
      <c r="AK22" s="3"/>
      <c r="AL22" s="3"/>
      <c r="AM22" s="3"/>
      <c r="AN22" s="3"/>
      <c r="AO22" s="4"/>
      <c r="AP22" s="17"/>
      <c r="AQ22" s="3"/>
      <c r="AR22" s="3"/>
      <c r="AT22" s="4"/>
      <c r="AU22" s="4"/>
      <c r="AV22" s="43"/>
    </row>
    <row r="23" spans="1:48" ht="12.75">
      <c r="A23" s="48" t="s">
        <v>14</v>
      </c>
      <c r="B23" s="5">
        <v>7.04</v>
      </c>
      <c r="C23" s="5">
        <v>6.74</v>
      </c>
      <c r="D23" s="6">
        <v>5.4</v>
      </c>
      <c r="E23" s="5">
        <v>4.88</v>
      </c>
      <c r="F23" s="18">
        <v>4.74</v>
      </c>
      <c r="G23" s="5">
        <v>4.26</v>
      </c>
      <c r="H23" s="5">
        <v>4.35</v>
      </c>
      <c r="I23" s="6"/>
      <c r="J23" s="6" t="s">
        <v>14</v>
      </c>
      <c r="K23" s="5">
        <v>7.66</v>
      </c>
      <c r="L23" s="5">
        <v>6.88</v>
      </c>
      <c r="M23" s="6">
        <v>5.54</v>
      </c>
      <c r="N23" s="5">
        <v>4.45</v>
      </c>
      <c r="O23" s="18">
        <v>4.57</v>
      </c>
      <c r="P23" s="5">
        <v>4.26</v>
      </c>
      <c r="Q23" s="5">
        <v>4.35</v>
      </c>
      <c r="R23" s="6"/>
      <c r="S23" s="6" t="s">
        <v>14</v>
      </c>
      <c r="T23" s="5">
        <v>6.68</v>
      </c>
      <c r="U23" s="5">
        <v>5.93</v>
      </c>
      <c r="V23" s="6">
        <v>4.85</v>
      </c>
      <c r="W23" s="5">
        <v>4.18</v>
      </c>
      <c r="X23" s="18">
        <v>4.03</v>
      </c>
      <c r="Y23" s="5">
        <v>4.26</v>
      </c>
      <c r="Z23" s="5">
        <v>4.35</v>
      </c>
      <c r="AA23" s="6"/>
      <c r="AB23" s="6" t="s">
        <v>14</v>
      </c>
      <c r="AC23" s="5">
        <v>6.23</v>
      </c>
      <c r="AD23" s="5">
        <v>5.68</v>
      </c>
      <c r="AE23" s="6">
        <v>4.73</v>
      </c>
      <c r="AF23" s="5">
        <v>4.29</v>
      </c>
      <c r="AG23" s="18">
        <v>4.18</v>
      </c>
      <c r="AH23" s="5">
        <v>4.26</v>
      </c>
      <c r="AI23" s="5">
        <v>4.35</v>
      </c>
      <c r="AJ23" s="6"/>
      <c r="AK23" s="6" t="s">
        <v>14</v>
      </c>
      <c r="AL23" s="5">
        <v>7.36</v>
      </c>
      <c r="AM23" s="5">
        <v>6.39</v>
      </c>
      <c r="AN23" s="5">
        <v>5.5</v>
      </c>
      <c r="AO23" s="5">
        <v>4.98</v>
      </c>
      <c r="AP23" s="18">
        <v>4.88</v>
      </c>
      <c r="AQ23" s="5">
        <v>4.26</v>
      </c>
      <c r="AR23" s="5">
        <v>4.35</v>
      </c>
      <c r="AS23" s="6"/>
      <c r="AT23" s="5"/>
      <c r="AU23" s="5"/>
      <c r="AV23" s="43"/>
    </row>
    <row r="24" spans="1:48" ht="12.75">
      <c r="A24" s="48" t="s">
        <v>18</v>
      </c>
      <c r="B24" s="5">
        <v>3.83</v>
      </c>
      <c r="C24" s="5">
        <v>3.56</v>
      </c>
      <c r="D24" s="6">
        <v>4.09</v>
      </c>
      <c r="E24" s="5">
        <v>4.34</v>
      </c>
      <c r="F24" s="18">
        <v>3.97</v>
      </c>
      <c r="G24" s="5">
        <v>3.86</v>
      </c>
      <c r="H24" s="5">
        <v>3.79</v>
      </c>
      <c r="I24" s="6"/>
      <c r="J24" s="6" t="s">
        <v>18</v>
      </c>
      <c r="K24" s="5">
        <v>3.81</v>
      </c>
      <c r="L24" s="5">
        <v>4.66</v>
      </c>
      <c r="M24" s="6">
        <v>4.55</v>
      </c>
      <c r="N24" s="5">
        <v>4.55</v>
      </c>
      <c r="O24" s="18">
        <v>4.33</v>
      </c>
      <c r="P24" s="5">
        <v>3.86</v>
      </c>
      <c r="Q24" s="5">
        <v>3.79</v>
      </c>
      <c r="R24" s="6"/>
      <c r="S24" s="6" t="s">
        <v>18</v>
      </c>
      <c r="T24" s="5">
        <v>3.34</v>
      </c>
      <c r="U24" s="5">
        <v>2.95</v>
      </c>
      <c r="V24" s="6">
        <v>3.05</v>
      </c>
      <c r="W24" s="5">
        <v>3.17</v>
      </c>
      <c r="X24" s="18">
        <v>3.28</v>
      </c>
      <c r="Y24" s="5">
        <v>3.86</v>
      </c>
      <c r="Z24" s="5">
        <v>3.79</v>
      </c>
      <c r="AA24" s="6"/>
      <c r="AB24" s="6" t="s">
        <v>18</v>
      </c>
      <c r="AC24" s="5">
        <v>3.16</v>
      </c>
      <c r="AD24" s="5">
        <v>3.11</v>
      </c>
      <c r="AE24" s="6">
        <v>2.75</v>
      </c>
      <c r="AF24" s="5">
        <v>2.84</v>
      </c>
      <c r="AG24" s="18">
        <v>3.4</v>
      </c>
      <c r="AH24" s="5">
        <v>3.86</v>
      </c>
      <c r="AI24" s="5">
        <v>3.79</v>
      </c>
      <c r="AJ24" s="6"/>
      <c r="AK24" s="6" t="s">
        <v>18</v>
      </c>
      <c r="AL24" s="5">
        <v>3.83</v>
      </c>
      <c r="AM24" s="5">
        <v>3.59</v>
      </c>
      <c r="AN24" s="5">
        <v>2.56</v>
      </c>
      <c r="AO24" s="5">
        <v>2.86</v>
      </c>
      <c r="AP24" s="18">
        <v>3.13</v>
      </c>
      <c r="AQ24" s="5">
        <v>3.86</v>
      </c>
      <c r="AR24" s="5">
        <v>3.79</v>
      </c>
      <c r="AS24" s="6"/>
      <c r="AT24" s="5"/>
      <c r="AU24" s="5"/>
      <c r="AV24" s="43"/>
    </row>
    <row r="25" spans="1:48" ht="12.75">
      <c r="A25" s="48" t="s">
        <v>54</v>
      </c>
      <c r="B25" s="5">
        <v>21.89</v>
      </c>
      <c r="C25" s="5">
        <v>19.91</v>
      </c>
      <c r="D25" s="6">
        <v>21.99</v>
      </c>
      <c r="E25" s="5">
        <v>23.53</v>
      </c>
      <c r="F25" s="18">
        <v>20.33</v>
      </c>
      <c r="G25" s="5">
        <v>21.37</v>
      </c>
      <c r="H25" s="5">
        <v>20.17</v>
      </c>
      <c r="I25" s="6"/>
      <c r="J25" s="6" t="s">
        <v>54</v>
      </c>
      <c r="K25" s="5">
        <v>16.34</v>
      </c>
      <c r="L25" s="5">
        <v>19.41</v>
      </c>
      <c r="M25" s="6">
        <v>20.73</v>
      </c>
      <c r="N25" s="5">
        <v>26.42</v>
      </c>
      <c r="O25" s="18">
        <v>20.86</v>
      </c>
      <c r="P25" s="5">
        <v>21.37</v>
      </c>
      <c r="Q25" s="5">
        <v>20.17</v>
      </c>
      <c r="R25" s="6"/>
      <c r="S25" s="6" t="s">
        <v>54</v>
      </c>
      <c r="T25" s="5">
        <v>18.73</v>
      </c>
      <c r="U25" s="5">
        <v>20</v>
      </c>
      <c r="V25" s="6">
        <v>23.28</v>
      </c>
      <c r="W25" s="5">
        <v>25.41</v>
      </c>
      <c r="X25" s="18">
        <v>24.34</v>
      </c>
      <c r="Y25" s="5">
        <v>21.37</v>
      </c>
      <c r="Z25" s="5">
        <v>20.17</v>
      </c>
      <c r="AA25" s="6"/>
      <c r="AB25" s="6" t="s">
        <v>54</v>
      </c>
      <c r="AC25" s="5">
        <v>20.51</v>
      </c>
      <c r="AD25" s="5">
        <v>20.32</v>
      </c>
      <c r="AE25" s="6">
        <v>21.93</v>
      </c>
      <c r="AF25" s="5">
        <v>22.06</v>
      </c>
      <c r="AG25" s="18">
        <v>20.4</v>
      </c>
      <c r="AH25" s="5">
        <v>21.37</v>
      </c>
      <c r="AI25" s="5">
        <v>20.17</v>
      </c>
      <c r="AJ25" s="6"/>
      <c r="AK25" s="6" t="s">
        <v>54</v>
      </c>
      <c r="AL25" s="5">
        <v>17.76</v>
      </c>
      <c r="AM25" s="5">
        <v>18.44</v>
      </c>
      <c r="AN25" s="5">
        <v>18.64</v>
      </c>
      <c r="AO25" s="5">
        <v>23.28</v>
      </c>
      <c r="AP25" s="18">
        <v>19.64</v>
      </c>
      <c r="AQ25" s="5">
        <v>21.37</v>
      </c>
      <c r="AR25" s="5">
        <v>20.17</v>
      </c>
      <c r="AS25" s="6"/>
      <c r="AT25" s="5"/>
      <c r="AU25" s="5"/>
      <c r="AV25" s="43"/>
    </row>
    <row r="26" spans="1:48" ht="12.75">
      <c r="A26" s="48"/>
      <c r="B26" s="6"/>
      <c r="C26" s="6"/>
      <c r="D26" s="6"/>
      <c r="E26" s="5"/>
      <c r="F26" s="18"/>
      <c r="G26" s="6"/>
      <c r="H26" s="6"/>
      <c r="I26" s="6"/>
      <c r="J26" s="6"/>
      <c r="K26" s="6"/>
      <c r="L26" s="6"/>
      <c r="M26" s="6"/>
      <c r="N26" s="5"/>
      <c r="O26" s="18"/>
      <c r="P26" s="6"/>
      <c r="Q26" s="6"/>
      <c r="R26" s="6"/>
      <c r="S26" s="6"/>
      <c r="T26" s="6"/>
      <c r="U26" s="6"/>
      <c r="V26" s="6"/>
      <c r="W26" s="5"/>
      <c r="X26" s="18"/>
      <c r="Y26" s="6"/>
      <c r="Z26" s="6"/>
      <c r="AA26" s="6"/>
      <c r="AB26" s="6"/>
      <c r="AC26" s="6"/>
      <c r="AD26" s="6"/>
      <c r="AE26" s="6"/>
      <c r="AF26" s="5"/>
      <c r="AG26" s="18"/>
      <c r="AH26" s="6"/>
      <c r="AI26" s="6"/>
      <c r="AJ26" s="6"/>
      <c r="AK26" s="6"/>
      <c r="AL26" s="6"/>
      <c r="AM26" s="6"/>
      <c r="AN26" s="6"/>
      <c r="AO26" s="5"/>
      <c r="AP26" s="18"/>
      <c r="AQ26" s="6"/>
      <c r="AR26" s="6"/>
      <c r="AS26" s="6"/>
      <c r="AT26" s="5"/>
      <c r="AU26" s="5"/>
      <c r="AV26" s="43"/>
    </row>
    <row r="27" spans="1:48" ht="12.75">
      <c r="A27" s="48" t="s">
        <v>15</v>
      </c>
      <c r="B27" s="5">
        <v>0.32</v>
      </c>
      <c r="C27" s="5">
        <v>0.59</v>
      </c>
      <c r="D27" s="5">
        <v>1.34</v>
      </c>
      <c r="E27" s="5">
        <v>1.33</v>
      </c>
      <c r="F27" s="18">
        <v>1.42</v>
      </c>
      <c r="G27" s="5">
        <v>0.88</v>
      </c>
      <c r="H27" s="5">
        <v>1</v>
      </c>
      <c r="I27" s="6"/>
      <c r="J27" s="6" t="s">
        <v>15</v>
      </c>
      <c r="K27" s="5">
        <v>0.97</v>
      </c>
      <c r="L27" s="5">
        <v>1.63</v>
      </c>
      <c r="M27" s="5">
        <v>1.72</v>
      </c>
      <c r="N27" s="5">
        <v>1.59</v>
      </c>
      <c r="O27" s="18">
        <v>1.38</v>
      </c>
      <c r="P27" s="5">
        <v>0.88</v>
      </c>
      <c r="Q27" s="5">
        <v>1</v>
      </c>
      <c r="R27" s="6"/>
      <c r="S27" s="6" t="s">
        <v>15</v>
      </c>
      <c r="T27" s="5">
        <v>0.81</v>
      </c>
      <c r="U27" s="5">
        <v>1.05</v>
      </c>
      <c r="V27" s="5">
        <v>1.2</v>
      </c>
      <c r="W27" s="5">
        <v>0.75</v>
      </c>
      <c r="X27" s="18">
        <v>0.79</v>
      </c>
      <c r="Y27" s="5">
        <v>0.88</v>
      </c>
      <c r="Z27" s="5">
        <v>1</v>
      </c>
      <c r="AA27" s="6"/>
      <c r="AB27" s="6" t="s">
        <v>15</v>
      </c>
      <c r="AC27" s="5">
        <v>0.78</v>
      </c>
      <c r="AD27" s="5">
        <v>1.16</v>
      </c>
      <c r="AE27" s="5">
        <v>1.25</v>
      </c>
      <c r="AF27" s="5">
        <v>0.38</v>
      </c>
      <c r="AG27" s="18">
        <v>0.68</v>
      </c>
      <c r="AH27" s="5">
        <v>0.88</v>
      </c>
      <c r="AI27" s="5">
        <v>1</v>
      </c>
      <c r="AJ27" s="6"/>
      <c r="AK27" s="6" t="s">
        <v>15</v>
      </c>
      <c r="AL27" s="5">
        <v>0.68</v>
      </c>
      <c r="AM27" s="5">
        <v>0.89</v>
      </c>
      <c r="AN27" s="5">
        <v>0.95</v>
      </c>
      <c r="AO27" s="5">
        <v>0.54</v>
      </c>
      <c r="AP27" s="18">
        <v>0.16</v>
      </c>
      <c r="AQ27" s="5">
        <v>0.88</v>
      </c>
      <c r="AR27" s="5">
        <v>1</v>
      </c>
      <c r="AS27" s="6"/>
      <c r="AT27" s="5"/>
      <c r="AU27" s="5"/>
      <c r="AV27" s="43"/>
    </row>
    <row r="28" spans="1:48" ht="12.75">
      <c r="A28" s="48" t="s">
        <v>16</v>
      </c>
      <c r="B28" s="5">
        <v>10.62</v>
      </c>
      <c r="C28" s="5">
        <v>11.15</v>
      </c>
      <c r="D28" s="5">
        <v>12.52</v>
      </c>
      <c r="E28" s="5">
        <v>12.53</v>
      </c>
      <c r="F28" s="18">
        <v>13.37</v>
      </c>
      <c r="G28" s="5">
        <v>12.38</v>
      </c>
      <c r="H28" s="6">
        <v>12.24</v>
      </c>
      <c r="I28" s="6"/>
      <c r="J28" s="6" t="s">
        <v>16</v>
      </c>
      <c r="K28" s="5">
        <v>12.59</v>
      </c>
      <c r="L28" s="5">
        <v>13.62</v>
      </c>
      <c r="M28" s="5">
        <v>13.71</v>
      </c>
      <c r="N28" s="5">
        <v>12.11</v>
      </c>
      <c r="O28" s="18">
        <v>14</v>
      </c>
      <c r="P28" s="5">
        <v>12.38</v>
      </c>
      <c r="Q28" s="6">
        <v>12.24</v>
      </c>
      <c r="R28" s="6"/>
      <c r="S28" s="6" t="s">
        <v>16</v>
      </c>
      <c r="T28" s="5">
        <v>11.32</v>
      </c>
      <c r="U28" s="5">
        <v>12.65</v>
      </c>
      <c r="V28" s="5">
        <v>13.91</v>
      </c>
      <c r="W28" s="5">
        <v>12.61</v>
      </c>
      <c r="X28" s="18">
        <v>13.65</v>
      </c>
      <c r="Y28" s="5">
        <v>12.38</v>
      </c>
      <c r="Z28" s="6">
        <v>12.24</v>
      </c>
      <c r="AA28" s="6"/>
      <c r="AB28" s="6" t="s">
        <v>16</v>
      </c>
      <c r="AC28" s="5">
        <v>10.68</v>
      </c>
      <c r="AD28" s="5">
        <v>12.02</v>
      </c>
      <c r="AE28" s="5">
        <v>13.01</v>
      </c>
      <c r="AF28" s="5">
        <v>11.52</v>
      </c>
      <c r="AG28" s="18">
        <v>10.75</v>
      </c>
      <c r="AH28" s="5">
        <v>12.38</v>
      </c>
      <c r="AI28" s="6">
        <v>12.24</v>
      </c>
      <c r="AJ28" s="6"/>
      <c r="AK28" s="6" t="s">
        <v>16</v>
      </c>
      <c r="AL28" s="5">
        <v>11.16</v>
      </c>
      <c r="AM28" s="5">
        <v>12.05</v>
      </c>
      <c r="AN28" s="5">
        <v>11.88</v>
      </c>
      <c r="AO28" s="5">
        <v>12.68</v>
      </c>
      <c r="AP28" s="18">
        <v>11.27</v>
      </c>
      <c r="AQ28" s="5">
        <v>12.38</v>
      </c>
      <c r="AR28" s="6">
        <v>12.24</v>
      </c>
      <c r="AS28" s="6"/>
      <c r="AT28" s="5"/>
      <c r="AU28" s="5"/>
      <c r="AV28" s="43"/>
    </row>
    <row r="29" spans="1:48" ht="12.75">
      <c r="A29" s="48" t="s">
        <v>17</v>
      </c>
      <c r="B29" s="6">
        <v>11.09</v>
      </c>
      <c r="C29" s="6">
        <v>7.08</v>
      </c>
      <c r="D29" s="6">
        <v>2.37</v>
      </c>
      <c r="E29" s="5">
        <v>1.28</v>
      </c>
      <c r="F29" s="18">
        <v>0.84</v>
      </c>
      <c r="G29" s="5">
        <v>1.28</v>
      </c>
      <c r="H29" s="5">
        <v>1.22</v>
      </c>
      <c r="I29" s="6"/>
      <c r="J29" s="6" t="s">
        <v>17</v>
      </c>
      <c r="K29" s="6">
        <v>2.45</v>
      </c>
      <c r="L29" s="6">
        <v>1.79</v>
      </c>
      <c r="M29" s="6">
        <v>0.93</v>
      </c>
      <c r="N29" s="5">
        <v>0.28</v>
      </c>
      <c r="O29" s="18">
        <v>0.24</v>
      </c>
      <c r="P29" s="5">
        <v>1.28</v>
      </c>
      <c r="Q29" s="5">
        <v>1.22</v>
      </c>
      <c r="R29" s="6"/>
      <c r="S29" s="6" t="s">
        <v>17</v>
      </c>
      <c r="T29" s="6">
        <v>4.98</v>
      </c>
      <c r="U29" s="6">
        <v>3.72</v>
      </c>
      <c r="V29" s="6">
        <v>2.99</v>
      </c>
      <c r="W29" s="5">
        <v>1.45</v>
      </c>
      <c r="X29" s="18">
        <v>0.87</v>
      </c>
      <c r="Y29" s="5">
        <v>1.28</v>
      </c>
      <c r="Z29" s="5">
        <v>1.22</v>
      </c>
      <c r="AA29" s="6"/>
      <c r="AB29" s="6" t="s">
        <v>17</v>
      </c>
      <c r="AC29" s="6">
        <v>6.02</v>
      </c>
      <c r="AD29" s="6">
        <v>5.37</v>
      </c>
      <c r="AE29" s="6">
        <v>4.5</v>
      </c>
      <c r="AF29" s="5">
        <v>2.8</v>
      </c>
      <c r="AG29" s="18">
        <v>1.49</v>
      </c>
      <c r="AH29" s="5">
        <v>1.28</v>
      </c>
      <c r="AI29" s="5">
        <v>1.22</v>
      </c>
      <c r="AJ29" s="6"/>
      <c r="AK29" s="6" t="s">
        <v>17</v>
      </c>
      <c r="AL29" s="6">
        <v>5.81</v>
      </c>
      <c r="AM29" s="6">
        <v>4.82</v>
      </c>
      <c r="AN29" s="6">
        <v>2.46</v>
      </c>
      <c r="AO29" s="5">
        <v>2.15</v>
      </c>
      <c r="AP29" s="18">
        <v>2.03</v>
      </c>
      <c r="AQ29" s="5">
        <v>1.28</v>
      </c>
      <c r="AR29" s="5">
        <v>1.22</v>
      </c>
      <c r="AS29" s="6"/>
      <c r="AT29" s="5"/>
      <c r="AU29" s="5"/>
      <c r="AV29" s="43"/>
    </row>
    <row r="30" s="3" customFormat="1" ht="12.75">
      <c r="AT30" s="4"/>
    </row>
    <row r="31" ht="12.75">
      <c r="AT31" s="4"/>
    </row>
    <row r="32" spans="1:46" ht="12.75">
      <c r="A32" s="26" t="s">
        <v>21</v>
      </c>
      <c r="B32" s="27"/>
      <c r="C32" s="27"/>
      <c r="D32" s="27"/>
      <c r="E32" s="27"/>
      <c r="F32" s="27"/>
      <c r="G32" s="27"/>
      <c r="H32" s="26" t="s">
        <v>26</v>
      </c>
      <c r="J32" s="26" t="s">
        <v>21</v>
      </c>
      <c r="K32" s="27"/>
      <c r="L32" s="27"/>
      <c r="M32" s="27"/>
      <c r="N32" s="27"/>
      <c r="O32" s="27"/>
      <c r="P32" s="26" t="s">
        <v>65</v>
      </c>
      <c r="Q32" s="27"/>
      <c r="S32" s="26" t="s">
        <v>21</v>
      </c>
      <c r="T32" s="27"/>
      <c r="U32" s="27"/>
      <c r="V32" s="27"/>
      <c r="W32" s="27"/>
      <c r="X32" s="27"/>
      <c r="Y32" s="26" t="s">
        <v>66</v>
      </c>
      <c r="Z32" s="27"/>
      <c r="AB32" s="26" t="s">
        <v>21</v>
      </c>
      <c r="AC32" s="27"/>
      <c r="AD32" s="27"/>
      <c r="AE32" s="27"/>
      <c r="AF32" s="27"/>
      <c r="AG32" s="27"/>
      <c r="AH32" s="27"/>
      <c r="AI32" s="26" t="s">
        <v>67</v>
      </c>
      <c r="AK32" s="26" t="s">
        <v>21</v>
      </c>
      <c r="AL32" s="27"/>
      <c r="AM32" s="27"/>
      <c r="AN32" s="27"/>
      <c r="AO32" s="27"/>
      <c r="AP32" s="27"/>
      <c r="AQ32" s="27"/>
      <c r="AR32" s="26" t="s">
        <v>68</v>
      </c>
      <c r="AT32" s="4"/>
    </row>
    <row r="33" spans="1:46" s="29" customFormat="1" ht="11.25">
      <c r="A33" s="40"/>
      <c r="B33" s="40"/>
      <c r="C33" s="40"/>
      <c r="D33" s="40"/>
      <c r="E33" s="40"/>
      <c r="F33" s="40"/>
      <c r="H33" s="36" t="s">
        <v>19</v>
      </c>
      <c r="I33" s="40"/>
      <c r="J33" s="40"/>
      <c r="K33" s="40"/>
      <c r="L33" s="40"/>
      <c r="M33" s="40"/>
      <c r="N33" s="40"/>
      <c r="O33" s="40"/>
      <c r="Q33" s="36" t="s">
        <v>19</v>
      </c>
      <c r="R33" s="40"/>
      <c r="S33" s="40"/>
      <c r="T33" s="40"/>
      <c r="U33" s="40"/>
      <c r="V33" s="40"/>
      <c r="W33" s="40"/>
      <c r="X33" s="40"/>
      <c r="Z33" s="36" t="s">
        <v>19</v>
      </c>
      <c r="AA33" s="40"/>
      <c r="AB33" s="40"/>
      <c r="AC33" s="40"/>
      <c r="AD33" s="40"/>
      <c r="AE33" s="40"/>
      <c r="AF33" s="40"/>
      <c r="AG33" s="40"/>
      <c r="AI33" s="36" t="s">
        <v>19</v>
      </c>
      <c r="AJ33" s="40"/>
      <c r="AK33" s="40"/>
      <c r="AL33" s="40"/>
      <c r="AM33" s="40"/>
      <c r="AN33" s="40"/>
      <c r="AO33" s="40"/>
      <c r="AP33" s="40"/>
      <c r="AR33" s="36" t="s">
        <v>19</v>
      </c>
      <c r="AS33" s="40"/>
      <c r="AT33" s="44"/>
    </row>
    <row r="34" spans="1:46" ht="12.75">
      <c r="A34" s="32" t="s">
        <v>4</v>
      </c>
      <c r="B34" s="17" t="s">
        <v>0</v>
      </c>
      <c r="C34" s="17" t="s">
        <v>1</v>
      </c>
      <c r="D34" s="17" t="s">
        <v>2</v>
      </c>
      <c r="E34" s="17" t="s">
        <v>3</v>
      </c>
      <c r="F34" s="17" t="s">
        <v>117</v>
      </c>
      <c r="G34" s="17" t="s">
        <v>53</v>
      </c>
      <c r="H34" s="17" t="s">
        <v>111</v>
      </c>
      <c r="J34" s="17" t="s">
        <v>4</v>
      </c>
      <c r="K34" s="17" t="s">
        <v>0</v>
      </c>
      <c r="L34" s="17" t="s">
        <v>1</v>
      </c>
      <c r="M34" s="17" t="s">
        <v>2</v>
      </c>
      <c r="N34" s="17" t="s">
        <v>3</v>
      </c>
      <c r="O34" s="17" t="s">
        <v>117</v>
      </c>
      <c r="P34" s="17" t="s">
        <v>53</v>
      </c>
      <c r="Q34" s="17" t="s">
        <v>111</v>
      </c>
      <c r="S34" s="17" t="s">
        <v>4</v>
      </c>
      <c r="T34" s="17" t="s">
        <v>0</v>
      </c>
      <c r="U34" s="17" t="s">
        <v>1</v>
      </c>
      <c r="V34" s="17" t="s">
        <v>2</v>
      </c>
      <c r="W34" s="17" t="s">
        <v>3</v>
      </c>
      <c r="X34" s="17" t="s">
        <v>117</v>
      </c>
      <c r="Y34" s="17" t="s">
        <v>53</v>
      </c>
      <c r="Z34" s="17" t="s">
        <v>111</v>
      </c>
      <c r="AB34" s="17" t="s">
        <v>4</v>
      </c>
      <c r="AC34" s="17" t="s">
        <v>0</v>
      </c>
      <c r="AD34" s="17" t="s">
        <v>1</v>
      </c>
      <c r="AE34" s="17" t="s">
        <v>2</v>
      </c>
      <c r="AF34" s="17" t="s">
        <v>3</v>
      </c>
      <c r="AG34" s="17" t="s">
        <v>117</v>
      </c>
      <c r="AH34" s="17" t="s">
        <v>53</v>
      </c>
      <c r="AI34" s="17" t="s">
        <v>111</v>
      </c>
      <c r="AK34" s="17" t="s">
        <v>4</v>
      </c>
      <c r="AL34" s="17" t="s">
        <v>0</v>
      </c>
      <c r="AM34" s="17" t="s">
        <v>1</v>
      </c>
      <c r="AN34" s="17" t="s">
        <v>2</v>
      </c>
      <c r="AO34" s="17" t="s">
        <v>3</v>
      </c>
      <c r="AP34" s="17" t="s">
        <v>117</v>
      </c>
      <c r="AQ34" s="17" t="s">
        <v>53</v>
      </c>
      <c r="AR34" s="17" t="s">
        <v>111</v>
      </c>
      <c r="AT34" s="3"/>
    </row>
    <row r="35" spans="1:46" ht="12.75">
      <c r="A35" s="32"/>
      <c r="B35" s="17"/>
      <c r="C35" s="17"/>
      <c r="D35" s="17"/>
      <c r="E35" s="17"/>
      <c r="F35" s="17"/>
      <c r="G35" s="28" t="s">
        <v>117</v>
      </c>
      <c r="H35" s="28" t="s">
        <v>117</v>
      </c>
      <c r="J35" s="17"/>
      <c r="K35" s="17"/>
      <c r="L35" s="17"/>
      <c r="M35" s="17"/>
      <c r="N35" s="17"/>
      <c r="O35" s="17"/>
      <c r="P35" s="28" t="s">
        <v>117</v>
      </c>
      <c r="Q35" s="28" t="s">
        <v>117</v>
      </c>
      <c r="S35" s="17"/>
      <c r="T35" s="17"/>
      <c r="U35" s="17"/>
      <c r="V35" s="17"/>
      <c r="W35" s="17"/>
      <c r="X35" s="17"/>
      <c r="Y35" s="28" t="s">
        <v>117</v>
      </c>
      <c r="Z35" s="28" t="s">
        <v>117</v>
      </c>
      <c r="AB35" s="17"/>
      <c r="AC35" s="17"/>
      <c r="AD35" s="17"/>
      <c r="AE35" s="17"/>
      <c r="AF35" s="17"/>
      <c r="AG35" s="17"/>
      <c r="AH35" s="28" t="s">
        <v>117</v>
      </c>
      <c r="AI35" s="28" t="s">
        <v>117</v>
      </c>
      <c r="AK35" s="17"/>
      <c r="AL35" s="17"/>
      <c r="AM35" s="17"/>
      <c r="AN35" s="17"/>
      <c r="AO35" s="17"/>
      <c r="AP35" s="17"/>
      <c r="AQ35" s="28" t="s">
        <v>117</v>
      </c>
      <c r="AR35" s="28" t="s">
        <v>117</v>
      </c>
      <c r="AT35" s="3"/>
    </row>
    <row r="36" spans="1:46" ht="12.75">
      <c r="A36" s="3" t="s">
        <v>5</v>
      </c>
      <c r="B36" s="3">
        <v>2525</v>
      </c>
      <c r="C36" s="3">
        <v>2542</v>
      </c>
      <c r="D36" s="3">
        <v>2587</v>
      </c>
      <c r="E36" s="4">
        <v>2631</v>
      </c>
      <c r="F36" s="17">
        <v>2644</v>
      </c>
      <c r="G36" s="7">
        <f>35356/20</f>
        <v>1767.8</v>
      </c>
      <c r="H36" s="7">
        <f>(14039+35356+261+6746)/83</f>
        <v>679.5421686746988</v>
      </c>
      <c r="J36" s="3" t="s">
        <v>5</v>
      </c>
      <c r="K36" s="3">
        <v>3200</v>
      </c>
      <c r="L36" s="3">
        <v>3201</v>
      </c>
      <c r="M36" s="3">
        <v>3225</v>
      </c>
      <c r="N36" s="4">
        <v>3247</v>
      </c>
      <c r="O36" s="17">
        <v>3250</v>
      </c>
      <c r="P36" s="7">
        <f>35356/20</f>
        <v>1767.8</v>
      </c>
      <c r="Q36" s="7">
        <f>(14039+35356+261+6746)/83</f>
        <v>679.5421686746988</v>
      </c>
      <c r="S36" s="3" t="s">
        <v>5</v>
      </c>
      <c r="T36" s="3">
        <v>681</v>
      </c>
      <c r="U36" s="3">
        <v>691</v>
      </c>
      <c r="V36" s="3">
        <v>745</v>
      </c>
      <c r="W36" s="4">
        <v>799</v>
      </c>
      <c r="X36" s="17">
        <v>824</v>
      </c>
      <c r="Y36" s="7">
        <f>35356/20</f>
        <v>1767.8</v>
      </c>
      <c r="Z36" s="7">
        <f>(14039+35356+261+6746)/83</f>
        <v>679.5421686746988</v>
      </c>
      <c r="AB36" s="3" t="s">
        <v>5</v>
      </c>
      <c r="AC36" s="3">
        <v>1136</v>
      </c>
      <c r="AD36" s="3">
        <v>1092</v>
      </c>
      <c r="AE36" s="3">
        <v>1091</v>
      </c>
      <c r="AF36" s="4">
        <v>1072</v>
      </c>
      <c r="AG36" s="17">
        <v>1064</v>
      </c>
      <c r="AH36" s="7">
        <f>35356/20</f>
        <v>1767.8</v>
      </c>
      <c r="AI36" s="7">
        <f>(14039+35356+261+6746)/83</f>
        <v>679.5421686746988</v>
      </c>
      <c r="AK36" s="3" t="s">
        <v>5</v>
      </c>
      <c r="AL36" s="3"/>
      <c r="AM36" s="3"/>
      <c r="AN36" s="3"/>
      <c r="AO36" s="4">
        <v>37</v>
      </c>
      <c r="AP36" s="17">
        <v>173</v>
      </c>
      <c r="AQ36" s="7">
        <f>35356/20</f>
        <v>1767.8</v>
      </c>
      <c r="AR36" s="7">
        <f>(14039+35356+261+6746)/83</f>
        <v>679.5421686746988</v>
      </c>
      <c r="AT36" s="3"/>
    </row>
    <row r="37" spans="1:46" ht="12.75">
      <c r="A37" s="2" t="s">
        <v>6</v>
      </c>
      <c r="B37" s="3">
        <v>47796</v>
      </c>
      <c r="C37" s="3">
        <v>47566</v>
      </c>
      <c r="D37" s="3">
        <v>47613</v>
      </c>
      <c r="E37" s="4">
        <v>47389</v>
      </c>
      <c r="F37" s="17">
        <v>46893</v>
      </c>
      <c r="G37" s="7">
        <v>23375</v>
      </c>
      <c r="H37" s="7">
        <v>10458</v>
      </c>
      <c r="J37" s="3" t="s">
        <v>6</v>
      </c>
      <c r="K37" s="3">
        <v>39631</v>
      </c>
      <c r="L37" s="3">
        <v>39330</v>
      </c>
      <c r="M37" s="3">
        <v>38933</v>
      </c>
      <c r="N37" s="4">
        <v>38303</v>
      </c>
      <c r="O37" s="17">
        <v>37241</v>
      </c>
      <c r="P37" s="7">
        <v>23375</v>
      </c>
      <c r="Q37" s="7">
        <v>10458</v>
      </c>
      <c r="S37" s="3" t="s">
        <v>6</v>
      </c>
      <c r="T37" s="3">
        <v>10238</v>
      </c>
      <c r="U37" s="3">
        <v>10729</v>
      </c>
      <c r="V37" s="3">
        <v>10734</v>
      </c>
      <c r="W37" s="4">
        <v>10199</v>
      </c>
      <c r="X37" s="17">
        <v>10754</v>
      </c>
      <c r="Y37" s="7">
        <v>23375</v>
      </c>
      <c r="Z37" s="7">
        <v>10458</v>
      </c>
      <c r="AB37" s="3" t="s">
        <v>6</v>
      </c>
      <c r="AC37" s="3">
        <v>10700</v>
      </c>
      <c r="AD37" s="3">
        <v>10553</v>
      </c>
      <c r="AE37" s="3">
        <v>10347</v>
      </c>
      <c r="AF37" s="4">
        <v>10201</v>
      </c>
      <c r="AG37" s="17">
        <v>10156</v>
      </c>
      <c r="AH37" s="7">
        <v>23375</v>
      </c>
      <c r="AI37" s="7">
        <v>10458</v>
      </c>
      <c r="AK37" s="3" t="s">
        <v>6</v>
      </c>
      <c r="AL37" s="3"/>
      <c r="AM37" s="3"/>
      <c r="AN37" s="3"/>
      <c r="AO37" s="4">
        <v>4530</v>
      </c>
      <c r="AP37" s="17">
        <v>4548</v>
      </c>
      <c r="AQ37" s="7">
        <v>23375</v>
      </c>
      <c r="AR37" s="7">
        <v>10458</v>
      </c>
      <c r="AT37" s="3"/>
    </row>
    <row r="38" spans="1:46" ht="12.75">
      <c r="A38" s="48" t="s">
        <v>20</v>
      </c>
      <c r="B38" s="6">
        <v>214.88</v>
      </c>
      <c r="C38" s="6">
        <v>250.11</v>
      </c>
      <c r="D38" s="6">
        <v>297.58</v>
      </c>
      <c r="E38" s="5">
        <v>351.12</v>
      </c>
      <c r="F38" s="18">
        <v>441.57</v>
      </c>
      <c r="G38" s="6">
        <v>388.17</v>
      </c>
      <c r="H38" s="6">
        <v>423.74</v>
      </c>
      <c r="I38" s="6"/>
      <c r="J38" s="6" t="s">
        <v>20</v>
      </c>
      <c r="K38" s="6">
        <v>148.77</v>
      </c>
      <c r="L38" s="6">
        <v>167.85</v>
      </c>
      <c r="M38" s="6">
        <v>181.51</v>
      </c>
      <c r="N38" s="5">
        <v>206.89</v>
      </c>
      <c r="O38" s="18">
        <v>240.46</v>
      </c>
      <c r="P38" s="6">
        <v>388.17</v>
      </c>
      <c r="Q38" s="6">
        <v>423.74</v>
      </c>
      <c r="R38" s="6"/>
      <c r="S38" s="6" t="s">
        <v>20</v>
      </c>
      <c r="T38" s="6">
        <v>290.44</v>
      </c>
      <c r="U38" s="6">
        <v>328.59</v>
      </c>
      <c r="V38" s="6">
        <v>365.56</v>
      </c>
      <c r="W38" s="5">
        <v>438</v>
      </c>
      <c r="X38" s="18">
        <v>527</v>
      </c>
      <c r="Y38" s="6">
        <v>388.17</v>
      </c>
      <c r="Z38" s="6">
        <v>423.74</v>
      </c>
      <c r="AA38" s="6"/>
      <c r="AB38" s="6" t="s">
        <v>20</v>
      </c>
      <c r="AC38" s="6">
        <v>221</v>
      </c>
      <c r="AD38" s="6">
        <v>242</v>
      </c>
      <c r="AE38" s="6">
        <v>274</v>
      </c>
      <c r="AF38" s="5">
        <v>313</v>
      </c>
      <c r="AG38" s="18">
        <v>364</v>
      </c>
      <c r="AH38" s="6">
        <v>388.17</v>
      </c>
      <c r="AI38" s="6">
        <v>423.74</v>
      </c>
      <c r="AJ38" s="6"/>
      <c r="AK38" s="6" t="s">
        <v>20</v>
      </c>
      <c r="AL38" s="6"/>
      <c r="AM38" s="6"/>
      <c r="AN38" s="6"/>
      <c r="AO38" s="5">
        <v>1349.6</v>
      </c>
      <c r="AP38" s="18">
        <v>1718.24</v>
      </c>
      <c r="AQ38" s="6">
        <v>388.17</v>
      </c>
      <c r="AR38" s="6">
        <v>423.74</v>
      </c>
      <c r="AT38" s="3"/>
    </row>
    <row r="39" spans="1:46" ht="12.75">
      <c r="A39" s="48" t="s">
        <v>56</v>
      </c>
      <c r="B39" s="6">
        <v>1.64</v>
      </c>
      <c r="C39" s="6">
        <v>2.26</v>
      </c>
      <c r="D39" s="5">
        <v>2.97</v>
      </c>
      <c r="E39" s="5">
        <v>2.48</v>
      </c>
      <c r="F39" s="18">
        <v>3.02</v>
      </c>
      <c r="G39" s="6">
        <v>2.26</v>
      </c>
      <c r="H39" s="6">
        <v>2.84</v>
      </c>
      <c r="I39" s="6"/>
      <c r="J39" s="6" t="s">
        <v>56</v>
      </c>
      <c r="K39" s="6">
        <v>0.4</v>
      </c>
      <c r="L39" s="6">
        <v>0.77</v>
      </c>
      <c r="M39" s="5">
        <v>1.58</v>
      </c>
      <c r="N39" s="5">
        <v>0.93</v>
      </c>
      <c r="O39" s="18">
        <v>0.68</v>
      </c>
      <c r="P39" s="6">
        <v>2.26</v>
      </c>
      <c r="Q39" s="6">
        <v>2.84</v>
      </c>
      <c r="R39" s="6"/>
      <c r="S39" s="6" t="s">
        <v>56</v>
      </c>
      <c r="T39" s="6">
        <v>3</v>
      </c>
      <c r="U39" s="6">
        <v>4.06</v>
      </c>
      <c r="V39" s="5">
        <v>4.98</v>
      </c>
      <c r="W39" s="5">
        <v>3.95</v>
      </c>
      <c r="X39" s="18">
        <v>4.13</v>
      </c>
      <c r="Y39" s="6">
        <v>2.26</v>
      </c>
      <c r="Z39" s="6">
        <v>2.84</v>
      </c>
      <c r="AA39" s="6"/>
      <c r="AB39" s="6" t="s">
        <v>56</v>
      </c>
      <c r="AC39" s="6">
        <v>0.11</v>
      </c>
      <c r="AD39" s="6">
        <v>1.08</v>
      </c>
      <c r="AE39" s="5">
        <v>2.23</v>
      </c>
      <c r="AF39" s="5">
        <v>0.6</v>
      </c>
      <c r="AG39" s="18">
        <v>0.72</v>
      </c>
      <c r="AH39" s="6">
        <v>2.26</v>
      </c>
      <c r="AI39" s="6">
        <v>2.84</v>
      </c>
      <c r="AJ39" s="6"/>
      <c r="AK39" s="6" t="s">
        <v>56</v>
      </c>
      <c r="AL39" s="6"/>
      <c r="AM39" s="6"/>
      <c r="AN39" s="6"/>
      <c r="AO39" s="5">
        <v>6.85</v>
      </c>
      <c r="AP39" s="18">
        <v>12.45</v>
      </c>
      <c r="AQ39" s="6">
        <v>2.26</v>
      </c>
      <c r="AR39" s="6">
        <v>2.84</v>
      </c>
      <c r="AT39" s="3"/>
    </row>
    <row r="40" spans="1:46" ht="12.75">
      <c r="A40" s="2"/>
      <c r="B40" s="3"/>
      <c r="C40" s="3"/>
      <c r="D40" s="3"/>
      <c r="E40" s="4"/>
      <c r="F40" s="17"/>
      <c r="G40" s="3"/>
      <c r="H40" s="3"/>
      <c r="J40" s="3"/>
      <c r="K40" s="3"/>
      <c r="L40" s="3"/>
      <c r="M40" s="3"/>
      <c r="N40" s="4"/>
      <c r="O40" s="17"/>
      <c r="P40" s="3"/>
      <c r="Q40" s="3"/>
      <c r="S40" s="3"/>
      <c r="T40" s="3"/>
      <c r="U40" s="3"/>
      <c r="V40" s="3"/>
      <c r="W40" s="4"/>
      <c r="X40" s="17"/>
      <c r="Y40" s="3"/>
      <c r="Z40" s="3"/>
      <c r="AB40" s="3"/>
      <c r="AC40" s="3"/>
      <c r="AD40" s="3"/>
      <c r="AE40" s="3"/>
      <c r="AF40" s="4"/>
      <c r="AG40" s="17"/>
      <c r="AH40" s="3"/>
      <c r="AI40" s="3"/>
      <c r="AK40" s="3"/>
      <c r="AL40" s="3"/>
      <c r="AM40" s="3"/>
      <c r="AN40" s="3"/>
      <c r="AO40" s="4"/>
      <c r="AP40" s="17"/>
      <c r="AQ40" s="3"/>
      <c r="AR40" s="3"/>
      <c r="AT40" s="3"/>
    </row>
    <row r="41" spans="1:46" ht="12.75">
      <c r="A41" s="2" t="s">
        <v>119</v>
      </c>
      <c r="B41" s="3">
        <f>578+2894</f>
        <v>3472</v>
      </c>
      <c r="C41" s="3">
        <f>410+3739</f>
        <v>4149</v>
      </c>
      <c r="D41" s="3">
        <f>410+4842</f>
        <v>5252</v>
      </c>
      <c r="E41" s="4">
        <f>410+5699</f>
        <v>6109</v>
      </c>
      <c r="F41" s="17">
        <v>7132</v>
      </c>
      <c r="G41" s="7">
        <f>(11294+66090)/20</f>
        <v>3869.2</v>
      </c>
      <c r="H41" s="7">
        <f>(25180+157847)/83</f>
        <v>2205.144578313253</v>
      </c>
      <c r="J41" s="3" t="s">
        <v>119</v>
      </c>
      <c r="K41" s="3">
        <f>1124+873</f>
        <v>1997</v>
      </c>
      <c r="L41" s="3">
        <f>1124+1300</f>
        <v>2424</v>
      </c>
      <c r="M41" s="3">
        <f>1124+1850</f>
        <v>2974</v>
      </c>
      <c r="N41" s="4">
        <f>1124+2141</f>
        <v>3265</v>
      </c>
      <c r="O41" s="17">
        <v>3442</v>
      </c>
      <c r="P41" s="7">
        <f>(11294+66090)/20</f>
        <v>3869.2</v>
      </c>
      <c r="Q41" s="7">
        <f>(25180+157847)/83</f>
        <v>2205.144578313253</v>
      </c>
      <c r="S41" s="3" t="s">
        <v>119</v>
      </c>
      <c r="T41" s="3">
        <f>143+1903</f>
        <v>2046</v>
      </c>
      <c r="U41" s="3">
        <f>143+2227</f>
        <v>2370</v>
      </c>
      <c r="V41" s="3">
        <f>143+2625</f>
        <v>2768</v>
      </c>
      <c r="W41" s="4">
        <f>143+2911</f>
        <v>3054</v>
      </c>
      <c r="X41" s="17">
        <v>3375</v>
      </c>
      <c r="Y41" s="7">
        <f>(11294+66090)/20</f>
        <v>3869.2</v>
      </c>
      <c r="Z41" s="7">
        <f>(25180+157847)/83</f>
        <v>2205.144578313253</v>
      </c>
      <c r="AB41" s="3" t="s">
        <v>119</v>
      </c>
      <c r="AC41" s="3">
        <f>207+770</f>
        <v>977</v>
      </c>
      <c r="AD41" s="3">
        <f>207+792</f>
        <v>999</v>
      </c>
      <c r="AE41" s="3">
        <f>207+848</f>
        <v>1055</v>
      </c>
      <c r="AF41" s="4">
        <f>287+817</f>
        <v>1104</v>
      </c>
      <c r="AG41" s="17">
        <v>1339</v>
      </c>
      <c r="AH41" s="7">
        <f>(11294+66090)/20</f>
        <v>3869.2</v>
      </c>
      <c r="AI41" s="7">
        <f>(25180+157847)/83</f>
        <v>2205.144578313253</v>
      </c>
      <c r="AK41" s="3" t="s">
        <v>119</v>
      </c>
      <c r="AL41" s="3"/>
      <c r="AM41" s="3"/>
      <c r="AN41" s="3"/>
      <c r="AO41" s="4">
        <v>5926</v>
      </c>
      <c r="AP41" s="17">
        <v>6372</v>
      </c>
      <c r="AQ41" s="7">
        <f>(11294+66090)/20</f>
        <v>3869.2</v>
      </c>
      <c r="AR41" s="7">
        <f>(25180+157847)/83</f>
        <v>2205.144578313253</v>
      </c>
      <c r="AT41" s="3"/>
    </row>
    <row r="42" spans="1:46" ht="12.75">
      <c r="A42" s="2" t="s">
        <v>7</v>
      </c>
      <c r="B42" s="3">
        <v>64030</v>
      </c>
      <c r="C42" s="3">
        <v>72095</v>
      </c>
      <c r="D42" s="3">
        <v>86345</v>
      </c>
      <c r="E42" s="4">
        <v>96796</v>
      </c>
      <c r="F42" s="17">
        <v>116803</v>
      </c>
      <c r="G42" s="7">
        <f>1080072/20</f>
        <v>54003.6</v>
      </c>
      <c r="H42" s="7">
        <f>2162472/83</f>
        <v>26053.87951807229</v>
      </c>
      <c r="J42" s="3" t="s">
        <v>7</v>
      </c>
      <c r="K42" s="3">
        <v>47137</v>
      </c>
      <c r="L42" s="3">
        <v>51165</v>
      </c>
      <c r="M42" s="3">
        <v>55909</v>
      </c>
      <c r="N42" s="4">
        <v>60752</v>
      </c>
      <c r="O42" s="17">
        <v>66483</v>
      </c>
      <c r="P42" s="7">
        <f>1080072/20</f>
        <v>54003.6</v>
      </c>
      <c r="Q42" s="7">
        <f>2162472/83</f>
        <v>26053.87951807229</v>
      </c>
      <c r="S42" s="3" t="s">
        <v>7</v>
      </c>
      <c r="T42" s="3">
        <v>18924</v>
      </c>
      <c r="U42" s="3">
        <v>21725</v>
      </c>
      <c r="V42" s="3">
        <v>23191</v>
      </c>
      <c r="W42" s="4">
        <v>27233</v>
      </c>
      <c r="X42" s="17">
        <v>32877</v>
      </c>
      <c r="Y42" s="7">
        <f>1080072/20</f>
        <v>54003.6</v>
      </c>
      <c r="Z42" s="7">
        <f>2162472/83</f>
        <v>26053.87951807229</v>
      </c>
      <c r="AB42" s="3" t="s">
        <v>7</v>
      </c>
      <c r="AC42" s="3">
        <v>15355</v>
      </c>
      <c r="AD42" s="3">
        <v>16491</v>
      </c>
      <c r="AE42" s="3">
        <v>18349</v>
      </c>
      <c r="AF42" s="4">
        <v>20897</v>
      </c>
      <c r="AG42" s="17">
        <v>23623</v>
      </c>
      <c r="AH42" s="7">
        <f>1080072/20</f>
        <v>54003.6</v>
      </c>
      <c r="AI42" s="7">
        <f>2162472/83</f>
        <v>26053.87951807229</v>
      </c>
      <c r="AK42" s="3" t="s">
        <v>7</v>
      </c>
      <c r="AL42" s="3"/>
      <c r="AM42" s="3"/>
      <c r="AN42" s="3"/>
      <c r="AO42" s="4">
        <v>15103</v>
      </c>
      <c r="AP42" s="17">
        <v>26001</v>
      </c>
      <c r="AQ42" s="7">
        <f>1080072/20</f>
        <v>54003.6</v>
      </c>
      <c r="AR42" s="7">
        <f>2162472/83</f>
        <v>26053.87951807229</v>
      </c>
      <c r="AT42" s="3"/>
    </row>
    <row r="43" spans="1:46" ht="12.75">
      <c r="A43" s="2" t="s">
        <v>8</v>
      </c>
      <c r="B43" s="3">
        <v>23220</v>
      </c>
      <c r="C43" s="3">
        <v>30458</v>
      </c>
      <c r="D43" s="3">
        <v>35793</v>
      </c>
      <c r="E43" s="4">
        <v>38054</v>
      </c>
      <c r="F43" s="17">
        <v>36974</v>
      </c>
      <c r="G43" s="7">
        <f>408795/20</f>
        <v>20439.75</v>
      </c>
      <c r="H43" s="7">
        <f>866961/83</f>
        <v>10445.313253012047</v>
      </c>
      <c r="J43" s="3" t="s">
        <v>8</v>
      </c>
      <c r="K43" s="3">
        <v>21100</v>
      </c>
      <c r="L43" s="3">
        <v>26045</v>
      </c>
      <c r="M43" s="3">
        <v>31405</v>
      </c>
      <c r="N43" s="4">
        <v>30835</v>
      </c>
      <c r="O43" s="17">
        <v>28639</v>
      </c>
      <c r="P43" s="7">
        <f>408795/20</f>
        <v>20439.75</v>
      </c>
      <c r="Q43" s="7">
        <f>866961/83</f>
        <v>10445.313253012047</v>
      </c>
      <c r="S43" s="3" t="s">
        <v>8</v>
      </c>
      <c r="T43" s="3">
        <v>8056</v>
      </c>
      <c r="U43" s="3">
        <v>10670</v>
      </c>
      <c r="V43" s="3">
        <v>10685</v>
      </c>
      <c r="W43" s="4">
        <v>10261</v>
      </c>
      <c r="X43" s="17">
        <v>10652</v>
      </c>
      <c r="Y43" s="7">
        <f>408795/20</f>
        <v>20439.75</v>
      </c>
      <c r="Z43" s="7">
        <f>866961/83</f>
        <v>10445.313253012047</v>
      </c>
      <c r="AB43" s="3" t="s">
        <v>8</v>
      </c>
      <c r="AC43" s="3">
        <v>7648</v>
      </c>
      <c r="AD43" s="3">
        <v>8500</v>
      </c>
      <c r="AE43" s="3">
        <v>9736</v>
      </c>
      <c r="AF43" s="4">
        <v>9697</v>
      </c>
      <c r="AG43" s="17">
        <v>8571</v>
      </c>
      <c r="AH43" s="7">
        <f>408795/20</f>
        <v>20439.75</v>
      </c>
      <c r="AI43" s="7">
        <f>866961/83</f>
        <v>10445.313253012047</v>
      </c>
      <c r="AK43" s="3" t="s">
        <v>8</v>
      </c>
      <c r="AL43" s="3"/>
      <c r="AM43" s="3"/>
      <c r="AN43" s="3"/>
      <c r="AO43" s="4">
        <v>25055</v>
      </c>
      <c r="AP43" s="17">
        <v>25351</v>
      </c>
      <c r="AQ43" s="7">
        <f>408795/20</f>
        <v>20439.75</v>
      </c>
      <c r="AR43" s="7">
        <f>866961/83</f>
        <v>10445.313253012047</v>
      </c>
      <c r="AT43" s="3"/>
    </row>
    <row r="44" spans="1:46" ht="12.75">
      <c r="A44" s="2" t="s">
        <v>9</v>
      </c>
      <c r="B44" s="3">
        <v>33127</v>
      </c>
      <c r="C44" s="3">
        <v>40472</v>
      </c>
      <c r="D44" s="3">
        <v>48439</v>
      </c>
      <c r="E44" s="4">
        <v>60421</v>
      </c>
      <c r="F44" s="17">
        <v>79426</v>
      </c>
      <c r="G44" s="7">
        <f>734609/20</f>
        <v>36730.45</v>
      </c>
      <c r="H44" s="7">
        <f>1515667/83</f>
        <v>18261.048192771083</v>
      </c>
      <c r="J44" s="3" t="s">
        <v>9</v>
      </c>
      <c r="K44" s="3">
        <v>21288</v>
      </c>
      <c r="L44" s="3">
        <v>22252</v>
      </c>
      <c r="M44" s="3">
        <v>22804</v>
      </c>
      <c r="N44" s="4">
        <v>27277</v>
      </c>
      <c r="O44" s="17">
        <v>37483</v>
      </c>
      <c r="P44" s="7">
        <f>734609/20</f>
        <v>36730.45</v>
      </c>
      <c r="Q44" s="7">
        <f>1515667/83</f>
        <v>18261.048192771083</v>
      </c>
      <c r="S44" s="3" t="s">
        <v>9</v>
      </c>
      <c r="T44" s="3">
        <v>10987</v>
      </c>
      <c r="U44" s="3">
        <v>12029</v>
      </c>
      <c r="V44" s="3">
        <v>13890</v>
      </c>
      <c r="W44" s="4">
        <v>18546</v>
      </c>
      <c r="X44" s="17">
        <v>23962</v>
      </c>
      <c r="Y44" s="7">
        <f>734609/20</f>
        <v>36730.45</v>
      </c>
      <c r="Z44" s="7">
        <f>1515667/83</f>
        <v>18261.048192771083</v>
      </c>
      <c r="AB44" s="3" t="s">
        <v>9</v>
      </c>
      <c r="AC44" s="3">
        <v>7523</v>
      </c>
      <c r="AD44" s="3">
        <v>8436</v>
      </c>
      <c r="AE44" s="3">
        <v>9412</v>
      </c>
      <c r="AF44" s="4">
        <v>11309</v>
      </c>
      <c r="AG44" s="17">
        <v>14231</v>
      </c>
      <c r="AH44" s="7">
        <f>734609/20</f>
        <v>36730.45</v>
      </c>
      <c r="AI44" s="7">
        <f>1515667/83</f>
        <v>18261.048192771083</v>
      </c>
      <c r="AK44" s="3" t="s">
        <v>9</v>
      </c>
      <c r="AL44" s="3"/>
      <c r="AM44" s="3"/>
      <c r="AN44" s="3"/>
      <c r="AO44" s="4">
        <v>45414</v>
      </c>
      <c r="AP44" s="17">
        <v>52739</v>
      </c>
      <c r="AQ44" s="7">
        <f>734609/20</f>
        <v>36730.45</v>
      </c>
      <c r="AR44" s="7">
        <f>1515667/83</f>
        <v>18261.048192771083</v>
      </c>
      <c r="AT44" s="3"/>
    </row>
    <row r="45" spans="1:44" ht="12.75">
      <c r="A45" s="2"/>
      <c r="B45" s="3"/>
      <c r="C45" s="3"/>
      <c r="D45" s="3"/>
      <c r="E45" s="4"/>
      <c r="F45" s="17"/>
      <c r="G45" s="7"/>
      <c r="H45" s="7"/>
      <c r="J45" s="3"/>
      <c r="K45" s="3"/>
      <c r="L45" s="3"/>
      <c r="M45" s="3"/>
      <c r="N45" s="4"/>
      <c r="O45" s="17"/>
      <c r="P45" s="7"/>
      <c r="Q45" s="7"/>
      <c r="S45" s="3"/>
      <c r="T45" s="3"/>
      <c r="U45" s="3"/>
      <c r="V45" s="3"/>
      <c r="W45" s="4"/>
      <c r="X45" s="17"/>
      <c r="Y45" s="7"/>
      <c r="Z45" s="7"/>
      <c r="AB45" s="3"/>
      <c r="AC45" s="3"/>
      <c r="AD45" s="3"/>
      <c r="AE45" s="3"/>
      <c r="AF45" s="4"/>
      <c r="AG45" s="17"/>
      <c r="AH45" s="7"/>
      <c r="AI45" s="7"/>
      <c r="AK45" s="3"/>
      <c r="AL45" s="3"/>
      <c r="AM45" s="3"/>
      <c r="AN45" s="3"/>
      <c r="AO45" s="4"/>
      <c r="AP45" s="17"/>
      <c r="AQ45" s="7"/>
      <c r="AR45" s="7"/>
    </row>
    <row r="46" spans="1:44" ht="12.75">
      <c r="A46" s="2" t="s">
        <v>10</v>
      </c>
      <c r="B46" s="4">
        <v>6371</v>
      </c>
      <c r="C46" s="4">
        <v>6692</v>
      </c>
      <c r="D46" s="4">
        <v>7063</v>
      </c>
      <c r="E46" s="4">
        <v>7572</v>
      </c>
      <c r="F46" s="17">
        <v>8711</v>
      </c>
      <c r="G46" s="7">
        <f>88499/20</f>
        <v>4424.95</v>
      </c>
      <c r="H46" s="7">
        <f>184377/83</f>
        <v>2221.409638554217</v>
      </c>
      <c r="J46" s="3" t="s">
        <v>10</v>
      </c>
      <c r="K46" s="4">
        <v>4657</v>
      </c>
      <c r="L46" s="4">
        <v>5073</v>
      </c>
      <c r="M46" s="4">
        <v>5064</v>
      </c>
      <c r="N46" s="4">
        <v>5205</v>
      </c>
      <c r="O46" s="17">
        <v>5386</v>
      </c>
      <c r="P46" s="7">
        <f>88499/20</f>
        <v>4424.95</v>
      </c>
      <c r="Q46" s="7">
        <f>184377/83</f>
        <v>2221.409638554217</v>
      </c>
      <c r="S46" s="3" t="s">
        <v>10</v>
      </c>
      <c r="T46" s="4">
        <v>1946</v>
      </c>
      <c r="U46" s="4">
        <v>2103</v>
      </c>
      <c r="V46" s="4">
        <v>2201</v>
      </c>
      <c r="W46" s="4">
        <v>2250</v>
      </c>
      <c r="X46" s="17">
        <v>2626</v>
      </c>
      <c r="Y46" s="7">
        <f>88499/20</f>
        <v>4424.95</v>
      </c>
      <c r="Z46" s="7">
        <f>184377/83</f>
        <v>2221.409638554217</v>
      </c>
      <c r="AB46" s="3" t="s">
        <v>10</v>
      </c>
      <c r="AC46" s="4">
        <v>1708</v>
      </c>
      <c r="AD46" s="4">
        <v>1772</v>
      </c>
      <c r="AE46" s="4">
        <v>1735</v>
      </c>
      <c r="AF46" s="4">
        <v>1725</v>
      </c>
      <c r="AG46" s="17">
        <v>1760</v>
      </c>
      <c r="AH46" s="7">
        <f>88499/20</f>
        <v>4424.95</v>
      </c>
      <c r="AI46" s="7">
        <f>184377/83</f>
        <v>2221.409638554217</v>
      </c>
      <c r="AK46" s="3" t="s">
        <v>10</v>
      </c>
      <c r="AL46" s="3"/>
      <c r="AM46" s="3"/>
      <c r="AN46" s="3"/>
      <c r="AO46" s="4">
        <v>2656</v>
      </c>
      <c r="AP46" s="17">
        <v>5381</v>
      </c>
      <c r="AQ46" s="7">
        <f>88499/20</f>
        <v>4424.95</v>
      </c>
      <c r="AR46" s="7">
        <f>184377/83</f>
        <v>2221.409638554217</v>
      </c>
    </row>
    <row r="47" spans="1:44" ht="12.75">
      <c r="A47" s="2" t="s">
        <v>11</v>
      </c>
      <c r="B47" s="4">
        <v>1429</v>
      </c>
      <c r="C47" s="4">
        <v>1478</v>
      </c>
      <c r="D47" s="4">
        <v>2016</v>
      </c>
      <c r="E47" s="4">
        <v>1544</v>
      </c>
      <c r="F47" s="17">
        <v>1378</v>
      </c>
      <c r="G47" s="7">
        <f>13538/20</f>
        <v>676.9</v>
      </c>
      <c r="H47" s="7">
        <f>37693/83</f>
        <v>454.13253012048193</v>
      </c>
      <c r="J47" s="3" t="s">
        <v>11</v>
      </c>
      <c r="K47" s="4">
        <v>601</v>
      </c>
      <c r="L47" s="4">
        <v>554</v>
      </c>
      <c r="M47" s="4">
        <v>964</v>
      </c>
      <c r="N47" s="4">
        <v>920</v>
      </c>
      <c r="O47" s="17">
        <v>531</v>
      </c>
      <c r="P47" s="7">
        <f>13538/20</f>
        <v>676.9</v>
      </c>
      <c r="Q47" s="7">
        <f>37693/83</f>
        <v>454.13253012048193</v>
      </c>
      <c r="S47" s="3" t="s">
        <v>11</v>
      </c>
      <c r="T47" s="4">
        <v>382</v>
      </c>
      <c r="U47" s="4">
        <v>532</v>
      </c>
      <c r="V47" s="4">
        <v>517</v>
      </c>
      <c r="W47" s="4">
        <v>565</v>
      </c>
      <c r="X47" s="17">
        <v>571</v>
      </c>
      <c r="Y47" s="7">
        <f>13538/20</f>
        <v>676.9</v>
      </c>
      <c r="Z47" s="7">
        <f>37693/83</f>
        <v>454.13253012048193</v>
      </c>
      <c r="AB47" s="3" t="s">
        <v>11</v>
      </c>
      <c r="AC47" s="4">
        <v>353</v>
      </c>
      <c r="AD47" s="4">
        <v>437</v>
      </c>
      <c r="AE47" s="4">
        <v>617</v>
      </c>
      <c r="AF47" s="4">
        <v>311</v>
      </c>
      <c r="AG47" s="17">
        <v>459</v>
      </c>
      <c r="AH47" s="7">
        <f>13538/20</f>
        <v>676.9</v>
      </c>
      <c r="AI47" s="7">
        <f>37693/83</f>
        <v>454.13253012048193</v>
      </c>
      <c r="AK47" s="3" t="s">
        <v>11</v>
      </c>
      <c r="AL47" s="3"/>
      <c r="AM47" s="3"/>
      <c r="AN47" s="3"/>
      <c r="AO47" s="4">
        <v>627</v>
      </c>
      <c r="AP47" s="17">
        <v>1280</v>
      </c>
      <c r="AQ47" s="7">
        <f>13538/20</f>
        <v>676.9</v>
      </c>
      <c r="AR47" s="7">
        <f>37693/83</f>
        <v>454.13253012048193</v>
      </c>
    </row>
    <row r="48" spans="1:44" ht="12.75">
      <c r="A48" s="2" t="s">
        <v>12</v>
      </c>
      <c r="B48" s="4">
        <v>4550</v>
      </c>
      <c r="C48" s="4">
        <v>4425</v>
      </c>
      <c r="D48" s="4">
        <v>4325</v>
      </c>
      <c r="E48" s="4">
        <v>4422</v>
      </c>
      <c r="F48" s="17">
        <v>5130</v>
      </c>
      <c r="G48" s="7">
        <f>52463/20</f>
        <v>2623.15</v>
      </c>
      <c r="H48" s="7">
        <f>106836/83</f>
        <v>1287.1807228915663</v>
      </c>
      <c r="J48" s="3" t="s">
        <v>12</v>
      </c>
      <c r="K48" s="4">
        <v>3123</v>
      </c>
      <c r="L48" s="4">
        <v>3176</v>
      </c>
      <c r="M48" s="4">
        <v>2942</v>
      </c>
      <c r="N48" s="4">
        <v>2830</v>
      </c>
      <c r="O48" s="17">
        <v>3006</v>
      </c>
      <c r="P48" s="7">
        <f>52463/20</f>
        <v>2623.15</v>
      </c>
      <c r="Q48" s="7">
        <f>106836/83</f>
        <v>1287.1807228915663</v>
      </c>
      <c r="S48" s="3" t="s">
        <v>12</v>
      </c>
      <c r="T48" s="4">
        <v>1320</v>
      </c>
      <c r="U48" s="4">
        <v>1310</v>
      </c>
      <c r="V48" s="4">
        <v>1237</v>
      </c>
      <c r="W48" s="4">
        <v>1120</v>
      </c>
      <c r="X48" s="17">
        <v>1400</v>
      </c>
      <c r="Y48" s="7">
        <f>52463/20</f>
        <v>2623.15</v>
      </c>
      <c r="Z48" s="7">
        <f>106836/83</f>
        <v>1287.1807228915663</v>
      </c>
      <c r="AB48" s="3" t="s">
        <v>12</v>
      </c>
      <c r="AC48" s="4">
        <v>1266</v>
      </c>
      <c r="AD48" s="4">
        <v>1204</v>
      </c>
      <c r="AE48" s="4">
        <v>1143</v>
      </c>
      <c r="AF48" s="4">
        <v>1039</v>
      </c>
      <c r="AG48" s="17">
        <v>1037</v>
      </c>
      <c r="AH48" s="7">
        <f>52463/20</f>
        <v>2623.15</v>
      </c>
      <c r="AI48" s="7">
        <f>106836/83</f>
        <v>1287.1807228915663</v>
      </c>
      <c r="AK48" s="3" t="s">
        <v>12</v>
      </c>
      <c r="AL48" s="3"/>
      <c r="AM48" s="3"/>
      <c r="AN48" s="3"/>
      <c r="AO48" s="4">
        <v>2468</v>
      </c>
      <c r="AP48" s="17">
        <v>5001</v>
      </c>
      <c r="AQ48" s="7">
        <f>52463/20</f>
        <v>2623.15</v>
      </c>
      <c r="AR48" s="7">
        <f>106836/83</f>
        <v>1287.1807228915663</v>
      </c>
    </row>
    <row r="49" spans="1:44" ht="12.75">
      <c r="A49" s="2" t="s">
        <v>13</v>
      </c>
      <c r="B49" s="4">
        <v>1593</v>
      </c>
      <c r="C49" s="4">
        <v>1748</v>
      </c>
      <c r="D49" s="4">
        <v>1897</v>
      </c>
      <c r="E49" s="4">
        <v>2109</v>
      </c>
      <c r="F49" s="17">
        <v>2347</v>
      </c>
      <c r="G49" s="7">
        <f>25761/20</f>
        <v>1288.05</v>
      </c>
      <c r="H49" s="7">
        <f>58664/83</f>
        <v>706.7951807228916</v>
      </c>
      <c r="J49" s="3" t="s">
        <v>13</v>
      </c>
      <c r="K49" s="4">
        <v>1431</v>
      </c>
      <c r="L49" s="4">
        <v>1527</v>
      </c>
      <c r="M49" s="4">
        <v>1558</v>
      </c>
      <c r="N49" s="4">
        <v>1686</v>
      </c>
      <c r="O49" s="17">
        <v>1716</v>
      </c>
      <c r="P49" s="7">
        <f>25761/20</f>
        <v>1288.05</v>
      </c>
      <c r="Q49" s="7">
        <f>58664/83</f>
        <v>706.7951807228916</v>
      </c>
      <c r="S49" s="3" t="s">
        <v>13</v>
      </c>
      <c r="T49" s="4">
        <v>384</v>
      </c>
      <c r="U49" s="4">
        <v>471</v>
      </c>
      <c r="V49" s="4">
        <v>574</v>
      </c>
      <c r="W49" s="4">
        <v>667</v>
      </c>
      <c r="X49" s="17">
        <v>747</v>
      </c>
      <c r="Y49" s="7">
        <f>25761/20</f>
        <v>1288.05</v>
      </c>
      <c r="Z49" s="7">
        <f>58664/83</f>
        <v>706.7951807228916</v>
      </c>
      <c r="AB49" s="3" t="s">
        <v>13</v>
      </c>
      <c r="AC49" s="4">
        <v>460</v>
      </c>
      <c r="AD49" s="4">
        <v>511</v>
      </c>
      <c r="AE49" s="4">
        <v>499</v>
      </c>
      <c r="AF49" s="4">
        <v>616</v>
      </c>
      <c r="AG49" s="17">
        <v>561</v>
      </c>
      <c r="AH49" s="7">
        <f>25761/20</f>
        <v>1288.05</v>
      </c>
      <c r="AI49" s="7">
        <f>58664/83</f>
        <v>706.7951807228916</v>
      </c>
      <c r="AK49" s="3" t="s">
        <v>13</v>
      </c>
      <c r="AL49" s="3"/>
      <c r="AM49" s="3"/>
      <c r="AN49" s="3"/>
      <c r="AO49" s="4">
        <v>454</v>
      </c>
      <c r="AP49" s="17">
        <v>859</v>
      </c>
      <c r="AQ49" s="7">
        <f>25761/20</f>
        <v>1288.05</v>
      </c>
      <c r="AR49" s="7">
        <f>58664/83</f>
        <v>706.7951807228916</v>
      </c>
    </row>
    <row r="50" spans="1:44" ht="12.75">
      <c r="A50" s="2"/>
      <c r="B50" s="3"/>
      <c r="C50" s="3"/>
      <c r="D50" s="3"/>
      <c r="E50" s="4"/>
      <c r="F50" s="17"/>
      <c r="G50" s="3"/>
      <c r="H50" s="3"/>
      <c r="J50" s="3"/>
      <c r="K50" s="3"/>
      <c r="L50" s="3"/>
      <c r="M50" s="3"/>
      <c r="N50" s="4"/>
      <c r="O50" s="17"/>
      <c r="P50" s="3"/>
      <c r="Q50" s="3"/>
      <c r="S50" s="3"/>
      <c r="T50" s="3"/>
      <c r="U50" s="3"/>
      <c r="V50" s="3"/>
      <c r="W50" s="4"/>
      <c r="X50" s="17"/>
      <c r="Y50" s="3"/>
      <c r="Z50" s="3"/>
      <c r="AB50" s="3"/>
      <c r="AC50" s="3"/>
      <c r="AD50" s="3"/>
      <c r="AE50" s="3"/>
      <c r="AF50" s="4"/>
      <c r="AG50" s="17"/>
      <c r="AH50" s="3"/>
      <c r="AI50" s="3"/>
      <c r="AK50" s="3"/>
      <c r="AL50" s="3"/>
      <c r="AM50" s="3"/>
      <c r="AN50" s="3"/>
      <c r="AO50" s="4"/>
      <c r="AP50" s="17"/>
      <c r="AQ50" s="3"/>
      <c r="AR50" s="3"/>
    </row>
    <row r="51" spans="1:44" ht="12.75">
      <c r="A51" s="48" t="s">
        <v>14</v>
      </c>
      <c r="B51" s="5">
        <v>6.93</v>
      </c>
      <c r="C51" s="5">
        <v>6.14</v>
      </c>
      <c r="D51" s="5">
        <v>5.19</v>
      </c>
      <c r="E51" s="5">
        <v>4.6</v>
      </c>
      <c r="F51" s="18">
        <v>4.57</v>
      </c>
      <c r="G51" s="5">
        <v>4.26</v>
      </c>
      <c r="H51" s="5">
        <v>4.35</v>
      </c>
      <c r="I51" s="6"/>
      <c r="J51" s="6" t="s">
        <v>14</v>
      </c>
      <c r="K51" s="5">
        <v>6.71</v>
      </c>
      <c r="L51" s="5">
        <v>6.14</v>
      </c>
      <c r="M51" s="5">
        <v>5.2</v>
      </c>
      <c r="N51" s="5">
        <v>4.63</v>
      </c>
      <c r="O51" s="18">
        <v>4.53</v>
      </c>
      <c r="P51" s="5">
        <v>4.26</v>
      </c>
      <c r="Q51" s="5">
        <v>4.35</v>
      </c>
      <c r="R51" s="6"/>
      <c r="S51" s="6" t="s">
        <v>14</v>
      </c>
      <c r="T51" s="5">
        <v>6.95</v>
      </c>
      <c r="U51" s="5">
        <v>6</v>
      </c>
      <c r="V51" s="5">
        <v>5.18</v>
      </c>
      <c r="W51" s="5">
        <v>4.2</v>
      </c>
      <c r="X51" s="18">
        <v>4.27</v>
      </c>
      <c r="Y51" s="5">
        <v>4.26</v>
      </c>
      <c r="Z51" s="5">
        <v>4.35</v>
      </c>
      <c r="AA51" s="6"/>
      <c r="AB51" s="6" t="s">
        <v>14</v>
      </c>
      <c r="AC51" s="5">
        <v>7.76</v>
      </c>
      <c r="AD51" s="5">
        <v>6.98</v>
      </c>
      <c r="AE51" s="5">
        <v>6.07</v>
      </c>
      <c r="AF51" s="5">
        <v>4.96</v>
      </c>
      <c r="AG51" s="18">
        <v>4.42</v>
      </c>
      <c r="AH51" s="5">
        <v>4.26</v>
      </c>
      <c r="AI51" s="5">
        <v>4.35</v>
      </c>
      <c r="AJ51" s="6"/>
      <c r="AK51" s="6" t="s">
        <v>14</v>
      </c>
      <c r="AL51" s="6"/>
      <c r="AM51" s="6"/>
      <c r="AN51" s="6"/>
      <c r="AO51" s="5">
        <v>0.62</v>
      </c>
      <c r="AP51" s="18">
        <v>1.58</v>
      </c>
      <c r="AQ51" s="5">
        <v>4.26</v>
      </c>
      <c r="AR51" s="5">
        <v>4.35</v>
      </c>
    </row>
    <row r="52" spans="1:44" ht="12.75">
      <c r="A52" s="48" t="s">
        <v>18</v>
      </c>
      <c r="B52" s="5">
        <v>3.34</v>
      </c>
      <c r="C52" s="5">
        <v>3.61</v>
      </c>
      <c r="D52" s="5">
        <v>3.47</v>
      </c>
      <c r="E52" s="5">
        <v>3.25</v>
      </c>
      <c r="F52" s="18">
        <v>3.28</v>
      </c>
      <c r="G52" s="5">
        <v>3.86</v>
      </c>
      <c r="H52" s="5">
        <v>3.79</v>
      </c>
      <c r="I52" s="6"/>
      <c r="J52" s="6" t="s">
        <v>18</v>
      </c>
      <c r="K52" s="5">
        <v>4.1</v>
      </c>
      <c r="L52" s="5">
        <v>4.22</v>
      </c>
      <c r="M52" s="5">
        <v>4.32</v>
      </c>
      <c r="N52" s="5">
        <v>4.32</v>
      </c>
      <c r="O52" s="18">
        <v>3.47</v>
      </c>
      <c r="P52" s="5">
        <v>3.86</v>
      </c>
      <c r="Q52" s="5">
        <v>3.79</v>
      </c>
      <c r="R52" s="6"/>
      <c r="S52" s="6" t="s">
        <v>18</v>
      </c>
      <c r="T52" s="5">
        <v>3.19</v>
      </c>
      <c r="U52" s="5">
        <v>2.86</v>
      </c>
      <c r="V52" s="5">
        <v>2.46</v>
      </c>
      <c r="W52" s="5">
        <v>3.54</v>
      </c>
      <c r="X52" s="18">
        <v>3.48</v>
      </c>
      <c r="Y52" s="5">
        <v>3.86</v>
      </c>
      <c r="Z52" s="5">
        <v>3.79</v>
      </c>
      <c r="AA52" s="6"/>
      <c r="AB52" s="6" t="s">
        <v>18</v>
      </c>
      <c r="AC52" s="5">
        <v>3.38</v>
      </c>
      <c r="AD52" s="5">
        <v>3.96</v>
      </c>
      <c r="AE52" s="5">
        <v>3.08</v>
      </c>
      <c r="AF52" s="5">
        <v>3.31</v>
      </c>
      <c r="AG52" s="18">
        <v>3.3</v>
      </c>
      <c r="AH52" s="5">
        <v>3.86</v>
      </c>
      <c r="AI52" s="5">
        <v>3.79</v>
      </c>
      <c r="AJ52" s="6"/>
      <c r="AK52" s="6" t="s">
        <v>18</v>
      </c>
      <c r="AL52" s="6"/>
      <c r="AM52" s="6"/>
      <c r="AN52" s="6"/>
      <c r="AO52" s="5">
        <v>4.19</v>
      </c>
      <c r="AP52" s="18">
        <v>7.4</v>
      </c>
      <c r="AQ52" s="5">
        <v>3.86</v>
      </c>
      <c r="AR52" s="5">
        <v>3.79</v>
      </c>
    </row>
    <row r="53" spans="1:44" ht="12.75">
      <c r="A53" s="48" t="s">
        <v>54</v>
      </c>
      <c r="B53" s="5">
        <v>18.27</v>
      </c>
      <c r="C53" s="5">
        <v>18.83</v>
      </c>
      <c r="D53" s="5">
        <v>20.47</v>
      </c>
      <c r="E53" s="5">
        <v>21.13</v>
      </c>
      <c r="F53" s="18">
        <v>20.27</v>
      </c>
      <c r="G53" s="5">
        <v>21.37</v>
      </c>
      <c r="H53" s="5">
        <v>20.17</v>
      </c>
      <c r="I53" s="6"/>
      <c r="J53" s="6" t="s">
        <v>54</v>
      </c>
      <c r="K53" s="5">
        <v>24.57</v>
      </c>
      <c r="L53" s="5">
        <v>25.23</v>
      </c>
      <c r="M53" s="5">
        <v>26.3</v>
      </c>
      <c r="N53" s="5">
        <v>28.29</v>
      </c>
      <c r="O53" s="18">
        <v>27.02</v>
      </c>
      <c r="P53" s="5">
        <v>21.37</v>
      </c>
      <c r="Q53" s="5">
        <v>20.17</v>
      </c>
      <c r="R53" s="6"/>
      <c r="S53" s="6" t="s">
        <v>54</v>
      </c>
      <c r="T53" s="5">
        <v>12.55</v>
      </c>
      <c r="U53" s="5">
        <v>14.36</v>
      </c>
      <c r="V53" s="5">
        <v>15.71</v>
      </c>
      <c r="W53" s="5">
        <v>17.51</v>
      </c>
      <c r="X53" s="18">
        <v>16.94</v>
      </c>
      <c r="Y53" s="5">
        <v>21.37</v>
      </c>
      <c r="Z53" s="5">
        <v>20.17</v>
      </c>
      <c r="AA53" s="6"/>
      <c r="AB53" s="6" t="s">
        <v>54</v>
      </c>
      <c r="AC53" s="5">
        <v>18.69</v>
      </c>
      <c r="AD53" s="5">
        <v>21.34</v>
      </c>
      <c r="AE53" s="5">
        <v>20.63</v>
      </c>
      <c r="AF53" s="5">
        <v>25.42</v>
      </c>
      <c r="AG53" s="18">
        <v>22.16</v>
      </c>
      <c r="AH53" s="5">
        <v>21.37</v>
      </c>
      <c r="AI53" s="5">
        <v>20.17</v>
      </c>
      <c r="AJ53" s="6"/>
      <c r="AK53" s="6" t="s">
        <v>54</v>
      </c>
      <c r="AL53" s="6"/>
      <c r="AM53" s="6"/>
      <c r="AN53" s="6"/>
      <c r="AO53" s="5">
        <v>5.39</v>
      </c>
      <c r="AP53" s="18">
        <v>5.44</v>
      </c>
      <c r="AQ53" s="5">
        <v>21.37</v>
      </c>
      <c r="AR53" s="5">
        <v>20.17</v>
      </c>
    </row>
    <row r="54" spans="1:44" ht="12.75">
      <c r="A54" s="48"/>
      <c r="B54" s="6"/>
      <c r="C54" s="6"/>
      <c r="D54" s="6"/>
      <c r="E54" s="5"/>
      <c r="F54" s="18"/>
      <c r="G54" s="6"/>
      <c r="H54" s="6"/>
      <c r="I54" s="6"/>
      <c r="J54" s="6"/>
      <c r="K54" s="6"/>
      <c r="L54" s="6"/>
      <c r="M54" s="6"/>
      <c r="N54" s="5"/>
      <c r="O54" s="18"/>
      <c r="P54" s="6"/>
      <c r="Q54" s="6"/>
      <c r="R54" s="6"/>
      <c r="S54" s="6"/>
      <c r="T54" s="6"/>
      <c r="U54" s="6"/>
      <c r="V54" s="6"/>
      <c r="W54" s="5"/>
      <c r="X54" s="18"/>
      <c r="Y54" s="6"/>
      <c r="Z54" s="6"/>
      <c r="AA54" s="6"/>
      <c r="AB54" s="6"/>
      <c r="AC54" s="6"/>
      <c r="AD54" s="6"/>
      <c r="AE54" s="6"/>
      <c r="AF54" s="5"/>
      <c r="AG54" s="18"/>
      <c r="AH54" s="6"/>
      <c r="AI54" s="6"/>
      <c r="AJ54" s="6"/>
      <c r="AK54" s="6"/>
      <c r="AL54" s="6"/>
      <c r="AM54" s="6"/>
      <c r="AN54" s="6"/>
      <c r="AO54" s="5"/>
      <c r="AP54" s="18"/>
      <c r="AQ54" s="6"/>
      <c r="AR54" s="6"/>
    </row>
    <row r="55" spans="1:44" ht="12.75">
      <c r="A55" s="48" t="s">
        <v>15</v>
      </c>
      <c r="B55" s="5">
        <v>1.03</v>
      </c>
      <c r="C55" s="5">
        <v>1.24</v>
      </c>
      <c r="D55" s="5">
        <v>1.34</v>
      </c>
      <c r="E55" s="5">
        <v>1.01</v>
      </c>
      <c r="F55" s="18">
        <v>1.01</v>
      </c>
      <c r="G55" s="5">
        <v>0.88</v>
      </c>
      <c r="H55" s="5">
        <v>1</v>
      </c>
      <c r="I55" s="6"/>
      <c r="J55" s="6" t="s">
        <v>15</v>
      </c>
      <c r="K55" s="5">
        <v>0.31</v>
      </c>
      <c r="L55" s="5">
        <v>0.54</v>
      </c>
      <c r="M55" s="5">
        <v>0.98</v>
      </c>
      <c r="N55" s="5">
        <v>0.53</v>
      </c>
      <c r="O55" s="18">
        <v>0.37</v>
      </c>
      <c r="P55" s="5">
        <v>0.88</v>
      </c>
      <c r="Q55" s="5">
        <v>1</v>
      </c>
      <c r="R55" s="6"/>
      <c r="S55" s="6" t="s">
        <v>15</v>
      </c>
      <c r="T55" s="5">
        <v>1.6</v>
      </c>
      <c r="U55" s="5">
        <v>1.88</v>
      </c>
      <c r="V55" s="5">
        <v>1.96</v>
      </c>
      <c r="W55" s="5">
        <v>1.12</v>
      </c>
      <c r="X55" s="18">
        <v>1.24</v>
      </c>
      <c r="Y55" s="5">
        <v>0.88</v>
      </c>
      <c r="Z55" s="5">
        <v>1</v>
      </c>
      <c r="AA55" s="6"/>
      <c r="AB55" s="6" t="s">
        <v>15</v>
      </c>
      <c r="AC55" s="5">
        <v>0.06</v>
      </c>
      <c r="AD55" s="5">
        <v>0.57</v>
      </c>
      <c r="AE55" s="5">
        <v>1.11</v>
      </c>
      <c r="AF55" s="5">
        <v>0.26</v>
      </c>
      <c r="AG55" s="18">
        <v>0.29</v>
      </c>
      <c r="AH55" s="5">
        <v>0.88</v>
      </c>
      <c r="AI55" s="5">
        <v>1</v>
      </c>
      <c r="AJ55" s="6"/>
      <c r="AK55" s="6" t="s">
        <v>15</v>
      </c>
      <c r="AL55" s="6"/>
      <c r="AM55" s="6"/>
      <c r="AN55" s="6"/>
      <c r="AO55" s="5">
        <v>0.78</v>
      </c>
      <c r="AP55" s="18">
        <v>0.68</v>
      </c>
      <c r="AQ55" s="5">
        <v>0.88</v>
      </c>
      <c r="AR55" s="5">
        <v>1</v>
      </c>
    </row>
    <row r="56" spans="1:44" ht="12.75">
      <c r="A56" s="48" t="s">
        <v>16</v>
      </c>
      <c r="B56" s="5">
        <v>11.88</v>
      </c>
      <c r="C56" s="5">
        <v>12.5</v>
      </c>
      <c r="D56" s="5">
        <v>12.66</v>
      </c>
      <c r="E56" s="5">
        <v>12.78</v>
      </c>
      <c r="F56" s="18">
        <v>11.22</v>
      </c>
      <c r="G56" s="5">
        <v>12.38</v>
      </c>
      <c r="H56" s="6">
        <v>12.24</v>
      </c>
      <c r="I56" s="6"/>
      <c r="J56" s="6" t="s">
        <v>16</v>
      </c>
      <c r="K56" s="5">
        <v>9.58</v>
      </c>
      <c r="L56" s="5">
        <v>10.51</v>
      </c>
      <c r="M56" s="5">
        <v>12.43</v>
      </c>
      <c r="N56" s="5">
        <v>12.15</v>
      </c>
      <c r="O56" s="18">
        <v>11.03</v>
      </c>
      <c r="P56" s="5">
        <v>12.38</v>
      </c>
      <c r="Q56" s="6">
        <v>12.24</v>
      </c>
      <c r="R56" s="6"/>
      <c r="S56" s="6" t="s">
        <v>16</v>
      </c>
      <c r="T56" s="5">
        <v>17.9</v>
      </c>
      <c r="U56" s="5">
        <v>18.5</v>
      </c>
      <c r="V56" s="5">
        <v>20.12</v>
      </c>
      <c r="W56" s="5">
        <v>16.23</v>
      </c>
      <c r="X56" s="18">
        <v>13.92</v>
      </c>
      <c r="Y56" s="5">
        <v>12.38</v>
      </c>
      <c r="Z56" s="6">
        <v>12.24</v>
      </c>
      <c r="AA56" s="6"/>
      <c r="AB56" s="6" t="s">
        <v>16</v>
      </c>
      <c r="AC56" s="5">
        <v>7.64</v>
      </c>
      <c r="AD56" s="5">
        <v>6.02</v>
      </c>
      <c r="AE56" s="5">
        <v>9.48</v>
      </c>
      <c r="AF56" s="5">
        <v>11.91</v>
      </c>
      <c r="AG56" s="18">
        <v>10.62</v>
      </c>
      <c r="AH56" s="5">
        <v>12.38</v>
      </c>
      <c r="AI56" s="6">
        <v>12.24</v>
      </c>
      <c r="AJ56" s="6"/>
      <c r="AK56" s="6" t="s">
        <v>16</v>
      </c>
      <c r="AL56" s="6"/>
      <c r="AM56" s="6"/>
      <c r="AN56" s="6"/>
      <c r="AO56" s="5">
        <v>15.51</v>
      </c>
      <c r="AP56" s="18">
        <v>14.8</v>
      </c>
      <c r="AQ56" s="5">
        <v>12.38</v>
      </c>
      <c r="AR56" s="6">
        <v>12.24</v>
      </c>
    </row>
    <row r="57" spans="1:44" ht="12.75">
      <c r="A57" s="48" t="s">
        <v>17</v>
      </c>
      <c r="B57" s="6">
        <v>3.89</v>
      </c>
      <c r="C57" s="6">
        <v>3.59</v>
      </c>
      <c r="D57" s="6">
        <v>2.89</v>
      </c>
      <c r="E57" s="5">
        <v>1.88</v>
      </c>
      <c r="F57" s="18">
        <v>1.12</v>
      </c>
      <c r="G57" s="5">
        <v>1.28</v>
      </c>
      <c r="H57" s="5">
        <v>1.22</v>
      </c>
      <c r="I57" s="6"/>
      <c r="J57" s="6" t="s">
        <v>17</v>
      </c>
      <c r="K57" s="6">
        <v>7.98</v>
      </c>
      <c r="L57" s="6">
        <v>7.02</v>
      </c>
      <c r="M57" s="6">
        <v>5.57</v>
      </c>
      <c r="N57" s="5">
        <v>2.98</v>
      </c>
      <c r="O57" s="18">
        <v>2.59</v>
      </c>
      <c r="P57" s="5">
        <v>1.28</v>
      </c>
      <c r="Q57" s="5">
        <v>1.22</v>
      </c>
      <c r="R57" s="6"/>
      <c r="S57" s="6" t="s">
        <v>17</v>
      </c>
      <c r="T57" s="6">
        <v>2.31</v>
      </c>
      <c r="U57" s="6">
        <v>1.65</v>
      </c>
      <c r="V57" s="6">
        <v>1.8</v>
      </c>
      <c r="W57" s="5">
        <v>1.12</v>
      </c>
      <c r="X57" s="18">
        <v>0.64</v>
      </c>
      <c r="Y57" s="5">
        <v>1.28</v>
      </c>
      <c r="Z57" s="5">
        <v>1.22</v>
      </c>
      <c r="AA57" s="6"/>
      <c r="AB57" s="6" t="s">
        <v>17</v>
      </c>
      <c r="AC57" s="6">
        <v>16.31</v>
      </c>
      <c r="AD57" s="6">
        <v>11.83</v>
      </c>
      <c r="AE57" s="6">
        <v>9.4</v>
      </c>
      <c r="AF57" s="5">
        <v>5.23</v>
      </c>
      <c r="AG57" s="18">
        <v>3.04</v>
      </c>
      <c r="AH57" s="5">
        <v>1.28</v>
      </c>
      <c r="AI57" s="5">
        <v>1.22</v>
      </c>
      <c r="AJ57" s="6"/>
      <c r="AK57" s="6" t="s">
        <v>17</v>
      </c>
      <c r="AL57" s="6"/>
      <c r="AM57" s="6"/>
      <c r="AN57" s="6"/>
      <c r="AO57" s="5">
        <v>1.74</v>
      </c>
      <c r="AP57" s="18">
        <v>1.01</v>
      </c>
      <c r="AQ57" s="5">
        <v>1.28</v>
      </c>
      <c r="AR57" s="5">
        <v>1.22</v>
      </c>
    </row>
    <row r="58" spans="1:44" ht="12.75">
      <c r="A58" s="3"/>
      <c r="B58" s="3"/>
      <c r="C58" s="3"/>
      <c r="D58" s="3"/>
      <c r="E58" s="3"/>
      <c r="F58" s="3"/>
      <c r="G58" s="3"/>
      <c r="H58" s="3"/>
      <c r="J58" s="3"/>
      <c r="K58" s="3"/>
      <c r="L58" s="3"/>
      <c r="M58" s="3"/>
      <c r="N58" s="3"/>
      <c r="O58" s="3"/>
      <c r="P58" s="3"/>
      <c r="Q58" s="3"/>
      <c r="S58" s="3"/>
      <c r="T58" s="3"/>
      <c r="U58" s="3"/>
      <c r="V58" s="3"/>
      <c r="W58" s="3"/>
      <c r="X58" s="3"/>
      <c r="Y58" s="3"/>
      <c r="Z58" s="3"/>
      <c r="AB58" s="3"/>
      <c r="AC58" s="3"/>
      <c r="AD58" s="3"/>
      <c r="AE58" s="3"/>
      <c r="AF58" s="3"/>
      <c r="AG58" s="3"/>
      <c r="AH58" s="3"/>
      <c r="AI58" s="3"/>
      <c r="AK58" s="3"/>
      <c r="AL58" s="3"/>
      <c r="AM58" s="3"/>
      <c r="AN58" s="3"/>
      <c r="AO58" s="3"/>
      <c r="AP58" s="3"/>
      <c r="AQ58" s="3"/>
      <c r="AR58" s="3"/>
    </row>
    <row r="60" spans="1:44" ht="12.75">
      <c r="A60" s="26" t="s">
        <v>21</v>
      </c>
      <c r="B60" s="27"/>
      <c r="C60" s="27"/>
      <c r="D60" s="27"/>
      <c r="E60" s="27"/>
      <c r="F60" s="27"/>
      <c r="G60" s="27"/>
      <c r="H60" s="26" t="s">
        <v>69</v>
      </c>
      <c r="J60" s="26" t="s">
        <v>21</v>
      </c>
      <c r="K60" s="27"/>
      <c r="L60" s="27"/>
      <c r="M60" s="27"/>
      <c r="N60" s="27"/>
      <c r="O60" s="27"/>
      <c r="P60" s="26" t="s">
        <v>70</v>
      </c>
      <c r="Q60" s="27"/>
      <c r="S60" s="26" t="s">
        <v>21</v>
      </c>
      <c r="T60" s="27"/>
      <c r="U60" s="27"/>
      <c r="V60" s="27"/>
      <c r="W60" s="27"/>
      <c r="X60" s="27"/>
      <c r="Y60" s="26" t="s">
        <v>27</v>
      </c>
      <c r="Z60" s="27"/>
      <c r="AB60" s="26" t="s">
        <v>21</v>
      </c>
      <c r="AC60" s="27"/>
      <c r="AD60" s="27"/>
      <c r="AE60" s="27"/>
      <c r="AF60" s="27"/>
      <c r="AG60" s="27"/>
      <c r="AH60" s="26" t="s">
        <v>71</v>
      </c>
      <c r="AI60" s="27"/>
      <c r="AK60" s="26" t="s">
        <v>21</v>
      </c>
      <c r="AL60" s="27"/>
      <c r="AM60" s="27"/>
      <c r="AN60" s="27"/>
      <c r="AO60" s="27"/>
      <c r="AP60" s="27"/>
      <c r="AQ60" s="26" t="s">
        <v>72</v>
      </c>
      <c r="AR60" s="27"/>
    </row>
    <row r="61" spans="1:45" s="29" customFormat="1" ht="11.25">
      <c r="A61" s="40"/>
      <c r="B61" s="40"/>
      <c r="C61" s="40"/>
      <c r="D61" s="40"/>
      <c r="E61" s="40"/>
      <c r="F61" s="40"/>
      <c r="H61" s="36" t="s">
        <v>19</v>
      </c>
      <c r="I61" s="40"/>
      <c r="J61" s="40"/>
      <c r="K61" s="40"/>
      <c r="L61" s="40"/>
      <c r="M61" s="40"/>
      <c r="N61" s="40"/>
      <c r="O61" s="40"/>
      <c r="Q61" s="36" t="s">
        <v>19</v>
      </c>
      <c r="R61" s="40"/>
      <c r="S61" s="40"/>
      <c r="T61" s="40"/>
      <c r="U61" s="40"/>
      <c r="V61" s="40"/>
      <c r="W61" s="40"/>
      <c r="X61" s="40"/>
      <c r="Z61" s="36" t="s">
        <v>19</v>
      </c>
      <c r="AA61" s="40"/>
      <c r="AB61" s="40"/>
      <c r="AC61" s="40"/>
      <c r="AD61" s="40"/>
      <c r="AE61" s="40"/>
      <c r="AF61" s="40"/>
      <c r="AG61" s="40"/>
      <c r="AI61" s="36" t="s">
        <v>19</v>
      </c>
      <c r="AJ61" s="40"/>
      <c r="AK61" s="40"/>
      <c r="AL61" s="40"/>
      <c r="AM61" s="40"/>
      <c r="AN61" s="40"/>
      <c r="AO61" s="40"/>
      <c r="AP61" s="40"/>
      <c r="AR61" s="36" t="s">
        <v>19</v>
      </c>
      <c r="AS61" s="40"/>
    </row>
    <row r="62" spans="1:44" ht="12.75">
      <c r="A62" s="32" t="s">
        <v>4</v>
      </c>
      <c r="B62" s="17" t="s">
        <v>0</v>
      </c>
      <c r="C62" s="17" t="s">
        <v>1</v>
      </c>
      <c r="D62" s="17" t="s">
        <v>2</v>
      </c>
      <c r="E62" s="17" t="s">
        <v>3</v>
      </c>
      <c r="F62" s="17" t="s">
        <v>117</v>
      </c>
      <c r="G62" s="17" t="s">
        <v>53</v>
      </c>
      <c r="H62" s="17" t="s">
        <v>111</v>
      </c>
      <c r="J62" s="17" t="s">
        <v>4</v>
      </c>
      <c r="K62" s="17" t="s">
        <v>0</v>
      </c>
      <c r="L62" s="17" t="s">
        <v>1</v>
      </c>
      <c r="M62" s="17" t="s">
        <v>2</v>
      </c>
      <c r="N62" s="17" t="s">
        <v>3</v>
      </c>
      <c r="O62" s="17" t="s">
        <v>117</v>
      </c>
      <c r="P62" s="17" t="s">
        <v>53</v>
      </c>
      <c r="Q62" s="17" t="s">
        <v>111</v>
      </c>
      <c r="S62" s="17" t="s">
        <v>4</v>
      </c>
      <c r="T62" s="17" t="s">
        <v>0</v>
      </c>
      <c r="U62" s="17" t="s">
        <v>1</v>
      </c>
      <c r="V62" s="17" t="s">
        <v>2</v>
      </c>
      <c r="W62" s="17" t="s">
        <v>3</v>
      </c>
      <c r="X62" s="17" t="s">
        <v>117</v>
      </c>
      <c r="Y62" s="17" t="s">
        <v>53</v>
      </c>
      <c r="Z62" s="17" t="s">
        <v>111</v>
      </c>
      <c r="AB62" s="17" t="s">
        <v>4</v>
      </c>
      <c r="AC62" s="17" t="s">
        <v>0</v>
      </c>
      <c r="AD62" s="17" t="s">
        <v>1</v>
      </c>
      <c r="AE62" s="17" t="s">
        <v>2</v>
      </c>
      <c r="AF62" s="17" t="s">
        <v>3</v>
      </c>
      <c r="AG62" s="17" t="s">
        <v>117</v>
      </c>
      <c r="AH62" s="17" t="s">
        <v>53</v>
      </c>
      <c r="AI62" s="17" t="s">
        <v>111</v>
      </c>
      <c r="AK62" s="17" t="s">
        <v>4</v>
      </c>
      <c r="AL62" s="17" t="s">
        <v>0</v>
      </c>
      <c r="AM62" s="17" t="s">
        <v>1</v>
      </c>
      <c r="AN62" s="17" t="s">
        <v>2</v>
      </c>
      <c r="AO62" s="17" t="s">
        <v>3</v>
      </c>
      <c r="AP62" s="17" t="s">
        <v>117</v>
      </c>
      <c r="AQ62" s="17" t="s">
        <v>53</v>
      </c>
      <c r="AR62" s="17" t="s">
        <v>111</v>
      </c>
    </row>
    <row r="63" spans="1:44" ht="12.75">
      <c r="A63" s="32"/>
      <c r="B63" s="17"/>
      <c r="C63" s="17"/>
      <c r="D63" s="17"/>
      <c r="E63" s="17"/>
      <c r="F63" s="17"/>
      <c r="G63" s="28" t="s">
        <v>117</v>
      </c>
      <c r="H63" s="28" t="s">
        <v>117</v>
      </c>
      <c r="J63" s="17"/>
      <c r="K63" s="17"/>
      <c r="L63" s="17"/>
      <c r="M63" s="17"/>
      <c r="N63" s="17"/>
      <c r="O63" s="17"/>
      <c r="P63" s="28" t="s">
        <v>117</v>
      </c>
      <c r="Q63" s="28" t="s">
        <v>117</v>
      </c>
      <c r="S63" s="17"/>
      <c r="T63" s="17"/>
      <c r="U63" s="17"/>
      <c r="V63" s="17"/>
      <c r="W63" s="17"/>
      <c r="X63" s="17"/>
      <c r="Y63" s="28" t="s">
        <v>117</v>
      </c>
      <c r="Z63" s="28" t="s">
        <v>117</v>
      </c>
      <c r="AB63" s="17"/>
      <c r="AC63" s="17"/>
      <c r="AD63" s="17"/>
      <c r="AE63" s="17"/>
      <c r="AF63" s="17"/>
      <c r="AG63" s="17"/>
      <c r="AH63" s="28" t="s">
        <v>117</v>
      </c>
      <c r="AI63" s="28" t="s">
        <v>117</v>
      </c>
      <c r="AK63" s="17"/>
      <c r="AL63" s="17"/>
      <c r="AM63" s="17"/>
      <c r="AN63" s="17"/>
      <c r="AO63" s="17"/>
      <c r="AP63" s="17"/>
      <c r="AQ63" s="28" t="s">
        <v>117</v>
      </c>
      <c r="AR63" s="28" t="s">
        <v>117</v>
      </c>
    </row>
    <row r="64" spans="1:44" ht="12.75">
      <c r="A64" s="3" t="s">
        <v>5</v>
      </c>
      <c r="B64" s="3">
        <v>1443</v>
      </c>
      <c r="C64" s="3">
        <v>1422</v>
      </c>
      <c r="D64" s="3">
        <v>1415</v>
      </c>
      <c r="E64" s="4">
        <v>1417</v>
      </c>
      <c r="F64" s="17">
        <v>1435</v>
      </c>
      <c r="G64" s="7">
        <f>35356/20</f>
        <v>1767.8</v>
      </c>
      <c r="H64" s="7">
        <f>(14039+35356+261+6746)/83</f>
        <v>679.5421686746988</v>
      </c>
      <c r="J64" s="3" t="s">
        <v>5</v>
      </c>
      <c r="K64" s="3">
        <v>1528</v>
      </c>
      <c r="L64" s="3">
        <v>1512</v>
      </c>
      <c r="M64" s="3">
        <v>1544</v>
      </c>
      <c r="N64" s="4">
        <v>1583</v>
      </c>
      <c r="O64" s="17">
        <v>1586</v>
      </c>
      <c r="P64" s="7">
        <f>35356/20</f>
        <v>1767.8</v>
      </c>
      <c r="Q64" s="7">
        <f>(14039+35356+261+6746)/83</f>
        <v>679.5421686746988</v>
      </c>
      <c r="S64" s="3" t="s">
        <v>5</v>
      </c>
      <c r="T64" s="3">
        <v>1005</v>
      </c>
      <c r="U64" s="3">
        <v>1028</v>
      </c>
      <c r="V64" s="3">
        <v>1051</v>
      </c>
      <c r="W64" s="4">
        <v>1168</v>
      </c>
      <c r="X64" s="17">
        <v>1184</v>
      </c>
      <c r="Y64" s="7">
        <f>35356/20</f>
        <v>1767.8</v>
      </c>
      <c r="Z64" s="7">
        <f>(14039+35356+261+6746)/83</f>
        <v>679.5421686746988</v>
      </c>
      <c r="AB64" s="3" t="s">
        <v>5</v>
      </c>
      <c r="AC64" s="3">
        <v>778</v>
      </c>
      <c r="AD64" s="3">
        <v>780</v>
      </c>
      <c r="AE64" s="3">
        <v>785</v>
      </c>
      <c r="AF64" s="4">
        <v>787</v>
      </c>
      <c r="AG64" s="17">
        <v>786</v>
      </c>
      <c r="AH64" s="7">
        <f>35356/20</f>
        <v>1767.8</v>
      </c>
      <c r="AI64" s="7">
        <f>(14039+35356+261+6746)/83</f>
        <v>679.5421686746988</v>
      </c>
      <c r="AK64" s="3" t="s">
        <v>5</v>
      </c>
      <c r="AL64" s="3">
        <v>3932</v>
      </c>
      <c r="AM64" s="3">
        <v>4115</v>
      </c>
      <c r="AN64" s="3">
        <v>4100</v>
      </c>
      <c r="AO64" s="4">
        <v>4128</v>
      </c>
      <c r="AP64" s="17">
        <v>4142</v>
      </c>
      <c r="AQ64" s="7">
        <f>35356/20</f>
        <v>1767.8</v>
      </c>
      <c r="AR64" s="7">
        <f>(14039+35356+261+6746)/83</f>
        <v>679.5421686746988</v>
      </c>
    </row>
    <row r="65" spans="1:44" ht="12.75">
      <c r="A65" s="2" t="s">
        <v>6</v>
      </c>
      <c r="B65" s="3">
        <v>22288</v>
      </c>
      <c r="C65" s="3">
        <v>22045</v>
      </c>
      <c r="D65" s="3">
        <v>21806</v>
      </c>
      <c r="E65" s="4">
        <v>21567</v>
      </c>
      <c r="F65" s="17">
        <v>21302</v>
      </c>
      <c r="G65" s="7">
        <v>23375</v>
      </c>
      <c r="H65" s="7">
        <v>10458</v>
      </c>
      <c r="J65" s="3" t="s">
        <v>6</v>
      </c>
      <c r="K65" s="3">
        <v>24674</v>
      </c>
      <c r="L65" s="3">
        <v>24458</v>
      </c>
      <c r="M65" s="3">
        <v>24382</v>
      </c>
      <c r="N65" s="4">
        <v>24366</v>
      </c>
      <c r="O65" s="17">
        <v>24178</v>
      </c>
      <c r="P65" s="7">
        <v>23375</v>
      </c>
      <c r="Q65" s="7">
        <v>10458</v>
      </c>
      <c r="S65" s="3" t="s">
        <v>6</v>
      </c>
      <c r="T65" s="3">
        <v>13589</v>
      </c>
      <c r="U65" s="3">
        <v>13507</v>
      </c>
      <c r="V65" s="3">
        <v>13588</v>
      </c>
      <c r="W65" s="4">
        <v>14563</v>
      </c>
      <c r="X65" s="17">
        <v>14962</v>
      </c>
      <c r="Y65" s="7">
        <v>23375</v>
      </c>
      <c r="Z65" s="7">
        <v>10458</v>
      </c>
      <c r="AB65" s="3" t="s">
        <v>6</v>
      </c>
      <c r="AC65" s="3">
        <v>9916</v>
      </c>
      <c r="AD65" s="3">
        <v>9813</v>
      </c>
      <c r="AE65" s="3">
        <v>9778</v>
      </c>
      <c r="AF65" s="4">
        <v>9632</v>
      </c>
      <c r="AG65" s="17">
        <v>9542</v>
      </c>
      <c r="AH65" s="7">
        <v>23375</v>
      </c>
      <c r="AI65" s="7">
        <v>10458</v>
      </c>
      <c r="AK65" s="3" t="s">
        <v>6</v>
      </c>
      <c r="AL65" s="3">
        <v>57859</v>
      </c>
      <c r="AM65" s="3">
        <v>58981</v>
      </c>
      <c r="AN65" s="3">
        <v>58839</v>
      </c>
      <c r="AO65" s="4">
        <v>58329</v>
      </c>
      <c r="AP65" s="17">
        <v>58047</v>
      </c>
      <c r="AQ65" s="7">
        <v>23375</v>
      </c>
      <c r="AR65" s="7">
        <v>10458</v>
      </c>
    </row>
    <row r="66" spans="1:44" ht="12.75">
      <c r="A66" s="48" t="s">
        <v>20</v>
      </c>
      <c r="B66" s="6">
        <v>156</v>
      </c>
      <c r="C66" s="6">
        <v>174</v>
      </c>
      <c r="D66" s="6">
        <v>189</v>
      </c>
      <c r="E66" s="5">
        <v>246</v>
      </c>
      <c r="F66" s="18">
        <v>295</v>
      </c>
      <c r="G66" s="6">
        <v>388.17</v>
      </c>
      <c r="H66" s="6">
        <v>423.74</v>
      </c>
      <c r="I66" s="6"/>
      <c r="J66" s="6" t="s">
        <v>20</v>
      </c>
      <c r="K66" s="6">
        <v>175.41</v>
      </c>
      <c r="L66" s="6">
        <v>204.36</v>
      </c>
      <c r="M66" s="6">
        <v>232.51</v>
      </c>
      <c r="N66" s="5">
        <v>269.48</v>
      </c>
      <c r="O66" s="18">
        <v>354.73</v>
      </c>
      <c r="P66" s="6">
        <v>388.17</v>
      </c>
      <c r="Q66" s="6">
        <v>423.74</v>
      </c>
      <c r="R66" s="6"/>
      <c r="S66" s="6" t="s">
        <v>20</v>
      </c>
      <c r="T66" s="6">
        <v>318</v>
      </c>
      <c r="U66" s="6">
        <v>343</v>
      </c>
      <c r="V66" s="6">
        <v>416</v>
      </c>
      <c r="W66" s="5">
        <v>512.23</v>
      </c>
      <c r="X66" s="18">
        <v>570.26</v>
      </c>
      <c r="Y66" s="6">
        <v>388.17</v>
      </c>
      <c r="Z66" s="6">
        <v>423.74</v>
      </c>
      <c r="AA66" s="6"/>
      <c r="AB66" s="6" t="s">
        <v>20</v>
      </c>
      <c r="AC66" s="6">
        <v>181.67</v>
      </c>
      <c r="AD66" s="6">
        <v>196.45</v>
      </c>
      <c r="AE66" s="6">
        <v>205.08</v>
      </c>
      <c r="AF66" s="5">
        <v>217.57</v>
      </c>
      <c r="AG66" s="18">
        <v>277.23</v>
      </c>
      <c r="AH66" s="6">
        <v>388.17</v>
      </c>
      <c r="AI66" s="6">
        <v>423.74</v>
      </c>
      <c r="AJ66" s="6"/>
      <c r="AK66" s="6" t="s">
        <v>20</v>
      </c>
      <c r="AL66" s="6">
        <v>167.76</v>
      </c>
      <c r="AM66" s="6">
        <v>195.64</v>
      </c>
      <c r="AN66" s="6">
        <v>228.22</v>
      </c>
      <c r="AO66" s="5">
        <v>276.87</v>
      </c>
      <c r="AP66" s="18">
        <v>330.92</v>
      </c>
      <c r="AQ66" s="6">
        <v>388.17</v>
      </c>
      <c r="AR66" s="6">
        <v>423.74</v>
      </c>
    </row>
    <row r="67" spans="1:44" ht="12.75">
      <c r="A67" s="48" t="s">
        <v>56</v>
      </c>
      <c r="B67" s="6">
        <v>0.15</v>
      </c>
      <c r="C67" s="6">
        <v>0.85</v>
      </c>
      <c r="D67" s="6">
        <v>1.85</v>
      </c>
      <c r="E67" s="5">
        <v>1.87</v>
      </c>
      <c r="F67" s="18">
        <v>2.36</v>
      </c>
      <c r="G67" s="6">
        <v>2.26</v>
      </c>
      <c r="H67" s="6">
        <v>2.84</v>
      </c>
      <c r="I67" s="6"/>
      <c r="J67" s="6" t="s">
        <v>56</v>
      </c>
      <c r="K67" s="6">
        <v>0.93</v>
      </c>
      <c r="L67" s="6">
        <v>1.7</v>
      </c>
      <c r="M67" s="6">
        <v>2.1</v>
      </c>
      <c r="N67" s="5">
        <v>2.66</v>
      </c>
      <c r="O67" s="18">
        <v>3.22</v>
      </c>
      <c r="P67" s="6">
        <v>2.26</v>
      </c>
      <c r="Q67" s="6">
        <v>2.84</v>
      </c>
      <c r="R67" s="6"/>
      <c r="S67" s="6" t="s">
        <v>56</v>
      </c>
      <c r="T67" s="6">
        <v>2.4</v>
      </c>
      <c r="U67" s="6">
        <v>3.4</v>
      </c>
      <c r="V67" s="6">
        <v>5.1</v>
      </c>
      <c r="W67" s="5">
        <v>6.67</v>
      </c>
      <c r="X67" s="18">
        <v>5.37</v>
      </c>
      <c r="Y67" s="6">
        <v>2.26</v>
      </c>
      <c r="Z67" s="6">
        <v>2.84</v>
      </c>
      <c r="AA67" s="6"/>
      <c r="AB67" s="6" t="s">
        <v>56</v>
      </c>
      <c r="AC67" s="6">
        <v>0.23</v>
      </c>
      <c r="AD67" s="5">
        <v>0.05</v>
      </c>
      <c r="AE67" s="6">
        <v>0.09</v>
      </c>
      <c r="AF67" s="5">
        <v>-0.74</v>
      </c>
      <c r="AG67" s="18">
        <v>1.14</v>
      </c>
      <c r="AH67" s="6">
        <v>2.26</v>
      </c>
      <c r="AI67" s="6">
        <v>2.84</v>
      </c>
      <c r="AJ67" s="6"/>
      <c r="AK67" s="6" t="s">
        <v>56</v>
      </c>
      <c r="AL67" s="6">
        <v>0.97</v>
      </c>
      <c r="AM67" s="5">
        <v>1.43</v>
      </c>
      <c r="AN67" s="6">
        <v>1.88</v>
      </c>
      <c r="AO67" s="5">
        <v>2.42</v>
      </c>
      <c r="AP67" s="18">
        <v>2.48</v>
      </c>
      <c r="AQ67" s="6">
        <v>2.26</v>
      </c>
      <c r="AR67" s="6">
        <v>2.84</v>
      </c>
    </row>
    <row r="68" spans="1:44" ht="12.75">
      <c r="A68" s="2"/>
      <c r="B68" s="3"/>
      <c r="C68" s="3"/>
      <c r="D68" s="3"/>
      <c r="E68" s="4"/>
      <c r="F68" s="17"/>
      <c r="G68" s="3"/>
      <c r="H68" s="3"/>
      <c r="J68" s="3"/>
      <c r="K68" s="3"/>
      <c r="L68" s="3"/>
      <c r="M68" s="3"/>
      <c r="N68" s="4"/>
      <c r="O68" s="17"/>
      <c r="P68" s="3"/>
      <c r="Q68" s="3"/>
      <c r="S68" s="3"/>
      <c r="T68" s="3"/>
      <c r="U68" s="3"/>
      <c r="V68" s="3"/>
      <c r="W68" s="4"/>
      <c r="X68" s="17"/>
      <c r="Y68" s="3"/>
      <c r="Z68" s="3"/>
      <c r="AB68" s="3"/>
      <c r="AC68" s="3"/>
      <c r="AD68" s="3"/>
      <c r="AE68" s="3"/>
      <c r="AF68" s="4"/>
      <c r="AG68" s="17"/>
      <c r="AH68" s="3"/>
      <c r="AI68" s="3"/>
      <c r="AK68" s="3"/>
      <c r="AL68" s="3"/>
      <c r="AM68" s="3"/>
      <c r="AN68" s="3"/>
      <c r="AO68" s="4"/>
      <c r="AP68" s="17"/>
      <c r="AQ68" s="3"/>
      <c r="AR68" s="3"/>
    </row>
    <row r="69" spans="1:44" ht="12.75">
      <c r="A69" s="2" t="s">
        <v>119</v>
      </c>
      <c r="B69" s="3">
        <f>3804+381</f>
        <v>4185</v>
      </c>
      <c r="C69" s="3">
        <f>4574+556</f>
        <v>5130</v>
      </c>
      <c r="D69" s="3">
        <f>4574+964</f>
        <v>5538</v>
      </c>
      <c r="E69" s="4">
        <f>4574+1362</f>
        <v>5936</v>
      </c>
      <c r="F69" s="17">
        <v>2491</v>
      </c>
      <c r="G69" s="7">
        <f>(11294+66090)/20</f>
        <v>3869.2</v>
      </c>
      <c r="H69" s="7">
        <f>(25180+157847)/83</f>
        <v>2205.144578313253</v>
      </c>
      <c r="J69" s="3" t="s">
        <v>119</v>
      </c>
      <c r="K69" s="3">
        <f>445+688</f>
        <v>1133</v>
      </c>
      <c r="L69" s="3">
        <f>445+1015</f>
        <v>1460</v>
      </c>
      <c r="M69" s="3">
        <f>545+1536</f>
        <v>2081</v>
      </c>
      <c r="N69" s="4">
        <f>545+2030</f>
        <v>2575</v>
      </c>
      <c r="O69" s="17">
        <v>3177</v>
      </c>
      <c r="P69" s="7">
        <f>(11294+66090)/20</f>
        <v>3869.2</v>
      </c>
      <c r="Q69" s="7">
        <f>(25180+157847)/83</f>
        <v>2205.144578313253</v>
      </c>
      <c r="S69" s="3" t="s">
        <v>119</v>
      </c>
      <c r="T69" s="3">
        <f>193+1427</f>
        <v>1620</v>
      </c>
      <c r="U69" s="3">
        <f>193+1917</f>
        <v>2110</v>
      </c>
      <c r="V69" s="3">
        <f>193+2484</f>
        <v>2677</v>
      </c>
      <c r="W69" s="4">
        <f>193+3134</f>
        <v>3327</v>
      </c>
      <c r="X69" s="17">
        <v>5171</v>
      </c>
      <c r="Y69" s="7">
        <f>(11294+66090)/20</f>
        <v>3869.2</v>
      </c>
      <c r="Z69" s="7">
        <f>(25180+157847)/83</f>
        <v>2205.144578313253</v>
      </c>
      <c r="AB69" s="3" t="s">
        <v>119</v>
      </c>
      <c r="AC69" s="3">
        <f>243+202</f>
        <v>445</v>
      </c>
      <c r="AD69" s="3">
        <f>243+214</f>
        <v>457</v>
      </c>
      <c r="AE69" s="3">
        <f>243+224</f>
        <v>467</v>
      </c>
      <c r="AF69" s="4">
        <f>243+197</f>
        <v>440</v>
      </c>
      <c r="AG69" s="17">
        <v>1222</v>
      </c>
      <c r="AH69" s="7">
        <f>(11294+66090)/20</f>
        <v>3869.2</v>
      </c>
      <c r="AI69" s="7">
        <f>(25180+157847)/83</f>
        <v>2205.144578313253</v>
      </c>
      <c r="AK69" s="3" t="s">
        <v>119</v>
      </c>
      <c r="AL69" s="3">
        <f>377+3004</f>
        <v>3381</v>
      </c>
      <c r="AM69" s="3">
        <f>265+3768</f>
        <v>4033</v>
      </c>
      <c r="AN69" s="3">
        <f>265+4747</f>
        <v>5012</v>
      </c>
      <c r="AO69" s="4">
        <f>315+7846</f>
        <v>8161</v>
      </c>
      <c r="AP69" s="17">
        <v>9376</v>
      </c>
      <c r="AQ69" s="7">
        <f>(11294+66090)/20</f>
        <v>3869.2</v>
      </c>
      <c r="AR69" s="7">
        <f>(25180+157847)/83</f>
        <v>2205.144578313253</v>
      </c>
    </row>
    <row r="70" spans="1:44" ht="12.75">
      <c r="A70" s="2" t="s">
        <v>7</v>
      </c>
      <c r="B70" s="3">
        <v>24039</v>
      </c>
      <c r="C70" s="3">
        <v>27016</v>
      </c>
      <c r="D70" s="3">
        <v>30444</v>
      </c>
      <c r="E70" s="4">
        <v>34809</v>
      </c>
      <c r="F70" s="17">
        <v>40806</v>
      </c>
      <c r="G70" s="7">
        <f>1080072/20</f>
        <v>54003.6</v>
      </c>
      <c r="H70" s="7">
        <f>2162472/83</f>
        <v>26053.87951807229</v>
      </c>
      <c r="J70" s="3" t="s">
        <v>7</v>
      </c>
      <c r="K70" s="3">
        <v>31808</v>
      </c>
      <c r="L70" s="3">
        <v>36699</v>
      </c>
      <c r="M70" s="3">
        <v>41483</v>
      </c>
      <c r="N70" s="4">
        <v>44241</v>
      </c>
      <c r="O70" s="17">
        <v>50529</v>
      </c>
      <c r="P70" s="7">
        <f>1080072/20</f>
        <v>54003.6</v>
      </c>
      <c r="Q70" s="7">
        <f>2162472/83</f>
        <v>26053.87951807229</v>
      </c>
      <c r="S70" s="3" t="s">
        <v>7</v>
      </c>
      <c r="T70" s="3">
        <v>28488</v>
      </c>
      <c r="U70" s="3">
        <v>29809</v>
      </c>
      <c r="V70" s="3">
        <v>35674</v>
      </c>
      <c r="W70" s="4">
        <v>47850</v>
      </c>
      <c r="X70" s="17">
        <v>50197</v>
      </c>
      <c r="Y70" s="7">
        <f>1080072/20</f>
        <v>54003.6</v>
      </c>
      <c r="Z70" s="7">
        <f>2162472/83</f>
        <v>26053.87951807229</v>
      </c>
      <c r="AB70" s="3" t="s">
        <v>7</v>
      </c>
      <c r="AC70" s="3">
        <v>12483</v>
      </c>
      <c r="AD70" s="3">
        <v>13224</v>
      </c>
      <c r="AE70" s="3">
        <v>13642</v>
      </c>
      <c r="AF70" s="4">
        <v>14171</v>
      </c>
      <c r="AG70" s="17">
        <v>16925</v>
      </c>
      <c r="AH70" s="7">
        <f>1080072/20</f>
        <v>54003.6</v>
      </c>
      <c r="AI70" s="7">
        <f>2162472/83</f>
        <v>26053.87951807229</v>
      </c>
      <c r="AK70" s="3" t="s">
        <v>7</v>
      </c>
      <c r="AL70" s="3">
        <v>64123</v>
      </c>
      <c r="AM70" s="3">
        <v>75814</v>
      </c>
      <c r="AN70" s="3">
        <v>87916</v>
      </c>
      <c r="AO70" s="4">
        <v>103167</v>
      </c>
      <c r="AP70" s="17">
        <v>119685</v>
      </c>
      <c r="AQ70" s="7">
        <f>1080072/20</f>
        <v>54003.6</v>
      </c>
      <c r="AR70" s="7">
        <f>2162472/83</f>
        <v>26053.87951807229</v>
      </c>
    </row>
    <row r="71" spans="1:44" ht="12.75">
      <c r="A71" s="2" t="s">
        <v>8</v>
      </c>
      <c r="B71" s="3">
        <v>12408</v>
      </c>
      <c r="C71" s="3">
        <v>14839</v>
      </c>
      <c r="D71" s="3">
        <v>16696</v>
      </c>
      <c r="E71" s="4">
        <v>17921</v>
      </c>
      <c r="F71" s="17">
        <v>19017</v>
      </c>
      <c r="G71" s="7">
        <f>408795/20</f>
        <v>20439.75</v>
      </c>
      <c r="H71" s="7">
        <f>866961/83</f>
        <v>10445.313253012047</v>
      </c>
      <c r="J71" s="3" t="s">
        <v>8</v>
      </c>
      <c r="K71" s="3">
        <v>15069</v>
      </c>
      <c r="L71" s="3">
        <v>18603</v>
      </c>
      <c r="M71" s="3">
        <v>20172</v>
      </c>
      <c r="N71" s="4">
        <v>19015</v>
      </c>
      <c r="O71" s="17">
        <v>18952</v>
      </c>
      <c r="P71" s="7">
        <f>408795/20</f>
        <v>20439.75</v>
      </c>
      <c r="Q71" s="7">
        <f>866961/83</f>
        <v>10445.313253012047</v>
      </c>
      <c r="S71" s="3" t="s">
        <v>8</v>
      </c>
      <c r="T71" s="3">
        <v>13724</v>
      </c>
      <c r="U71" s="3">
        <v>14781</v>
      </c>
      <c r="V71" s="3">
        <v>16794</v>
      </c>
      <c r="W71" s="4">
        <v>18342</v>
      </c>
      <c r="X71" s="17">
        <v>16818</v>
      </c>
      <c r="Y71" s="7">
        <f>408795/20</f>
        <v>20439.75</v>
      </c>
      <c r="Z71" s="7">
        <f>866961/83</f>
        <v>10445.313253012047</v>
      </c>
      <c r="AB71" s="3" t="s">
        <v>8</v>
      </c>
      <c r="AC71" s="3">
        <v>5745</v>
      </c>
      <c r="AD71" s="3">
        <v>6237</v>
      </c>
      <c r="AE71" s="3">
        <v>6777</v>
      </c>
      <c r="AF71" s="4">
        <v>7082</v>
      </c>
      <c r="AG71" s="17">
        <v>6956</v>
      </c>
      <c r="AH71" s="7">
        <f>408795/20</f>
        <v>20439.75</v>
      </c>
      <c r="AI71" s="7">
        <f>866961/83</f>
        <v>10445.313253012047</v>
      </c>
      <c r="AK71" s="3" t="s">
        <v>8</v>
      </c>
      <c r="AL71" s="3">
        <v>28207</v>
      </c>
      <c r="AM71" s="3">
        <v>34030</v>
      </c>
      <c r="AN71" s="3">
        <v>42125</v>
      </c>
      <c r="AO71" s="4">
        <v>50673</v>
      </c>
      <c r="AP71" s="17">
        <v>41055</v>
      </c>
      <c r="AQ71" s="7">
        <f>408795/20</f>
        <v>20439.75</v>
      </c>
      <c r="AR71" s="7">
        <f>866961/83</f>
        <v>10445.313253012047</v>
      </c>
    </row>
    <row r="72" spans="1:44" ht="12.75">
      <c r="A72" s="2" t="s">
        <v>9</v>
      </c>
      <c r="B72" s="3">
        <v>10908</v>
      </c>
      <c r="C72" s="3">
        <v>12275</v>
      </c>
      <c r="D72" s="3">
        <v>14126</v>
      </c>
      <c r="E72" s="4">
        <v>18380</v>
      </c>
      <c r="F72" s="17">
        <v>22485</v>
      </c>
      <c r="G72" s="7">
        <f>734609/20</f>
        <v>36730.45</v>
      </c>
      <c r="H72" s="7">
        <f>1515667/83</f>
        <v>18261.048192771083</v>
      </c>
      <c r="J72" s="3" t="s">
        <v>9</v>
      </c>
      <c r="K72" s="3">
        <v>15162</v>
      </c>
      <c r="L72" s="3">
        <v>17447</v>
      </c>
      <c r="M72" s="3">
        <v>20295</v>
      </c>
      <c r="N72" s="4">
        <v>25205</v>
      </c>
      <c r="O72" s="17">
        <v>34756</v>
      </c>
      <c r="P72" s="7">
        <f>734609/20</f>
        <v>36730.45</v>
      </c>
      <c r="Q72" s="7">
        <f>1515667/83</f>
        <v>18261.048192771083</v>
      </c>
      <c r="S72" s="3" t="s">
        <v>9</v>
      </c>
      <c r="T72" s="3">
        <v>14158</v>
      </c>
      <c r="U72" s="3">
        <v>15677</v>
      </c>
      <c r="V72" s="3">
        <v>19681</v>
      </c>
      <c r="W72" s="4">
        <v>25299</v>
      </c>
      <c r="X72" s="17">
        <v>33577</v>
      </c>
      <c r="Y72" s="7">
        <f>734609/20</f>
        <v>36730.45</v>
      </c>
      <c r="Z72" s="7">
        <f>1515667/83</f>
        <v>18261.048192771083</v>
      </c>
      <c r="AB72" s="3" t="s">
        <v>9</v>
      </c>
      <c r="AC72" s="3">
        <v>5577</v>
      </c>
      <c r="AD72" s="3">
        <v>5892</v>
      </c>
      <c r="AE72" s="3">
        <v>6030</v>
      </c>
      <c r="AF72" s="4">
        <v>6322</v>
      </c>
      <c r="AG72" s="17">
        <v>9107</v>
      </c>
      <c r="AH72" s="7">
        <f>734609/20</f>
        <v>36730.45</v>
      </c>
      <c r="AI72" s="7">
        <f>1515667/83</f>
        <v>18261.048192771083</v>
      </c>
      <c r="AK72" s="3" t="s">
        <v>9</v>
      </c>
      <c r="AL72" s="3">
        <v>34369</v>
      </c>
      <c r="AM72" s="3">
        <v>40228</v>
      </c>
      <c r="AN72" s="3">
        <v>47225</v>
      </c>
      <c r="AO72" s="4">
        <v>60413</v>
      </c>
      <c r="AP72" s="17">
        <v>74627</v>
      </c>
      <c r="AQ72" s="7">
        <f>734609/20</f>
        <v>36730.45</v>
      </c>
      <c r="AR72" s="7">
        <f>1515667/83</f>
        <v>18261.048192771083</v>
      </c>
    </row>
    <row r="73" spans="1:44" ht="12.75">
      <c r="A73" s="2"/>
      <c r="B73" s="3"/>
      <c r="C73" s="3"/>
      <c r="D73" s="3"/>
      <c r="E73" s="4"/>
      <c r="F73" s="17"/>
      <c r="G73" s="7"/>
      <c r="H73" s="7"/>
      <c r="J73" s="3"/>
      <c r="K73" s="3"/>
      <c r="L73" s="3"/>
      <c r="M73" s="3"/>
      <c r="N73" s="4"/>
      <c r="O73" s="17"/>
      <c r="P73" s="7"/>
      <c r="Q73" s="7"/>
      <c r="S73" s="3"/>
      <c r="T73" s="3"/>
      <c r="U73" s="3"/>
      <c r="V73" s="3"/>
      <c r="W73" s="4"/>
      <c r="X73" s="17"/>
      <c r="Y73" s="7"/>
      <c r="Z73" s="7"/>
      <c r="AB73" s="3"/>
      <c r="AC73" s="3"/>
      <c r="AD73" s="3"/>
      <c r="AE73" s="3"/>
      <c r="AF73" s="4"/>
      <c r="AG73" s="17"/>
      <c r="AH73" s="7"/>
      <c r="AI73" s="7"/>
      <c r="AK73" s="3"/>
      <c r="AL73" s="3"/>
      <c r="AM73" s="3"/>
      <c r="AN73" s="3"/>
      <c r="AO73" s="4"/>
      <c r="AP73" s="17"/>
      <c r="AQ73" s="7"/>
      <c r="AR73" s="7"/>
    </row>
    <row r="74" spans="1:44" ht="12.75">
      <c r="A74" s="2" t="s">
        <v>10</v>
      </c>
      <c r="B74" s="4">
        <v>2294</v>
      </c>
      <c r="C74" s="4">
        <v>2532</v>
      </c>
      <c r="D74" s="4">
        <v>2667</v>
      </c>
      <c r="E74" s="4">
        <v>2871</v>
      </c>
      <c r="F74" s="17">
        <v>3365</v>
      </c>
      <c r="G74" s="7">
        <f>88499/20</f>
        <v>4424.95</v>
      </c>
      <c r="H74" s="7">
        <f>184377/83</f>
        <v>2221.409638554217</v>
      </c>
      <c r="J74" s="3" t="s">
        <v>10</v>
      </c>
      <c r="K74" s="4">
        <v>3171</v>
      </c>
      <c r="L74" s="4">
        <v>3486</v>
      </c>
      <c r="M74" s="4">
        <v>3754</v>
      </c>
      <c r="N74" s="4">
        <v>3951</v>
      </c>
      <c r="O74" s="17">
        <v>4406</v>
      </c>
      <c r="P74" s="7">
        <f>88499/20</f>
        <v>4424.95</v>
      </c>
      <c r="Q74" s="7">
        <f>184377/83</f>
        <v>2221.409638554217</v>
      </c>
      <c r="S74" s="3" t="s">
        <v>10</v>
      </c>
      <c r="T74" s="4">
        <v>3040</v>
      </c>
      <c r="U74" s="4">
        <v>3304</v>
      </c>
      <c r="V74" s="4">
        <v>3301</v>
      </c>
      <c r="W74" s="4">
        <v>3572</v>
      </c>
      <c r="X74" s="17">
        <v>4119</v>
      </c>
      <c r="Y74" s="7">
        <f>88499/20</f>
        <v>4424.95</v>
      </c>
      <c r="Z74" s="7">
        <f>184377/83</f>
        <v>2221.409638554217</v>
      </c>
      <c r="AB74" s="3" t="s">
        <v>10</v>
      </c>
      <c r="AC74" s="4">
        <v>1266</v>
      </c>
      <c r="AD74" s="4">
        <v>1284</v>
      </c>
      <c r="AE74" s="4">
        <v>1279</v>
      </c>
      <c r="AF74" s="4">
        <v>1249</v>
      </c>
      <c r="AG74" s="17">
        <v>1300</v>
      </c>
      <c r="AH74" s="7">
        <f>88499/20</f>
        <v>4424.95</v>
      </c>
      <c r="AI74" s="7">
        <f>184377/83</f>
        <v>2221.409638554217</v>
      </c>
      <c r="AK74" s="3" t="s">
        <v>10</v>
      </c>
      <c r="AL74" s="4">
        <v>6648</v>
      </c>
      <c r="AM74" s="4">
        <v>7485</v>
      </c>
      <c r="AN74" s="4">
        <v>7780</v>
      </c>
      <c r="AO74" s="4">
        <v>8460</v>
      </c>
      <c r="AP74" s="17">
        <v>9584</v>
      </c>
      <c r="AQ74" s="7">
        <f>88499/20</f>
        <v>4424.95</v>
      </c>
      <c r="AR74" s="7">
        <f>184377/83</f>
        <v>2221.409638554217</v>
      </c>
    </row>
    <row r="75" spans="1:44" ht="12.75">
      <c r="A75" s="2" t="s">
        <v>11</v>
      </c>
      <c r="B75" s="4">
        <v>502</v>
      </c>
      <c r="C75" s="4">
        <v>525</v>
      </c>
      <c r="D75" s="4">
        <v>747</v>
      </c>
      <c r="E75" s="4">
        <v>569</v>
      </c>
      <c r="F75" s="17">
        <v>531</v>
      </c>
      <c r="G75" s="7">
        <f>13538/20</f>
        <v>676.9</v>
      </c>
      <c r="H75" s="7">
        <f>37693/83</f>
        <v>454.13253012048193</v>
      </c>
      <c r="J75" s="3" t="s">
        <v>11</v>
      </c>
      <c r="K75" s="4">
        <v>531</v>
      </c>
      <c r="L75" s="4">
        <v>520</v>
      </c>
      <c r="M75" s="4">
        <v>741</v>
      </c>
      <c r="N75" s="4">
        <v>800</v>
      </c>
      <c r="O75" s="17">
        <v>728</v>
      </c>
      <c r="P75" s="7">
        <f>13538/20</f>
        <v>676.9</v>
      </c>
      <c r="Q75" s="7">
        <f>37693/83</f>
        <v>454.13253012048193</v>
      </c>
      <c r="S75" s="3" t="s">
        <v>11</v>
      </c>
      <c r="T75" s="4">
        <v>474</v>
      </c>
      <c r="U75" s="4">
        <v>531</v>
      </c>
      <c r="V75" s="4">
        <v>722</v>
      </c>
      <c r="W75" s="4">
        <v>505</v>
      </c>
      <c r="X75" s="17">
        <v>553</v>
      </c>
      <c r="Y75" s="7">
        <f>13538/20</f>
        <v>676.9</v>
      </c>
      <c r="Z75" s="7">
        <f>37693/83</f>
        <v>454.13253012048193</v>
      </c>
      <c r="AB75" s="3" t="s">
        <v>11</v>
      </c>
      <c r="AC75" s="4">
        <v>228</v>
      </c>
      <c r="AD75" s="4">
        <v>307</v>
      </c>
      <c r="AE75" s="4">
        <v>256</v>
      </c>
      <c r="AF75" s="4">
        <v>256</v>
      </c>
      <c r="AG75" s="17">
        <v>151</v>
      </c>
      <c r="AH75" s="7">
        <f>13538/20</f>
        <v>676.9</v>
      </c>
      <c r="AI75" s="7">
        <f>37693/83</f>
        <v>454.13253012048193</v>
      </c>
      <c r="AK75" s="3" t="s">
        <v>11</v>
      </c>
      <c r="AL75" s="4">
        <v>978</v>
      </c>
      <c r="AM75" s="4">
        <v>1250</v>
      </c>
      <c r="AN75" s="4">
        <v>1867</v>
      </c>
      <c r="AO75" s="4">
        <v>1676</v>
      </c>
      <c r="AP75" s="17">
        <v>1231</v>
      </c>
      <c r="AQ75" s="7">
        <f>13538/20</f>
        <v>676.9</v>
      </c>
      <c r="AR75" s="7">
        <f>37693/83</f>
        <v>454.13253012048193</v>
      </c>
    </row>
    <row r="76" spans="1:44" ht="12.75">
      <c r="A76" s="2" t="s">
        <v>12</v>
      </c>
      <c r="B76" s="4">
        <v>1763</v>
      </c>
      <c r="C76" s="4">
        <v>1712</v>
      </c>
      <c r="D76" s="4">
        <v>1550</v>
      </c>
      <c r="E76" s="4">
        <v>1567</v>
      </c>
      <c r="F76" s="17">
        <v>1854</v>
      </c>
      <c r="G76" s="7">
        <f>52463/20</f>
        <v>2623.15</v>
      </c>
      <c r="H76" s="7">
        <f>106836/83</f>
        <v>1287.1807228915663</v>
      </c>
      <c r="J76" s="3" t="s">
        <v>12</v>
      </c>
      <c r="K76" s="4">
        <v>2201</v>
      </c>
      <c r="L76" s="4">
        <v>2264</v>
      </c>
      <c r="M76" s="4">
        <v>2155</v>
      </c>
      <c r="N76" s="4">
        <v>2096</v>
      </c>
      <c r="O76" s="17">
        <v>2339</v>
      </c>
      <c r="P76" s="7">
        <f>52463/20</f>
        <v>2623.15</v>
      </c>
      <c r="Q76" s="7">
        <f>106836/83</f>
        <v>1287.1807228915663</v>
      </c>
      <c r="S76" s="3" t="s">
        <v>12</v>
      </c>
      <c r="T76" s="4">
        <v>2068</v>
      </c>
      <c r="U76" s="4">
        <v>2090</v>
      </c>
      <c r="V76" s="4">
        <v>1845</v>
      </c>
      <c r="W76" s="4">
        <v>2048</v>
      </c>
      <c r="X76" s="17">
        <v>2514</v>
      </c>
      <c r="Y76" s="7">
        <f>52463/20</f>
        <v>2623.15</v>
      </c>
      <c r="Z76" s="7">
        <f>106836/83</f>
        <v>1287.1807228915663</v>
      </c>
      <c r="AB76" s="3" t="s">
        <v>12</v>
      </c>
      <c r="AC76" s="4">
        <v>949</v>
      </c>
      <c r="AD76" s="4">
        <v>898</v>
      </c>
      <c r="AE76" s="4">
        <v>785</v>
      </c>
      <c r="AF76" s="4">
        <v>676</v>
      </c>
      <c r="AG76" s="17">
        <v>669</v>
      </c>
      <c r="AH76" s="7">
        <f>52463/20</f>
        <v>2623.15</v>
      </c>
      <c r="AI76" s="7">
        <f>106836/83</f>
        <v>1287.1807228915663</v>
      </c>
      <c r="AK76" s="3" t="s">
        <v>12</v>
      </c>
      <c r="AL76" s="4">
        <v>4353</v>
      </c>
      <c r="AM76" s="4">
        <v>4361</v>
      </c>
      <c r="AN76" s="4">
        <v>4155</v>
      </c>
      <c r="AO76" s="4">
        <v>4453</v>
      </c>
      <c r="AP76" s="17">
        <v>4917</v>
      </c>
      <c r="AQ76" s="7">
        <f>52463/20</f>
        <v>2623.15</v>
      </c>
      <c r="AR76" s="7">
        <f>106836/83</f>
        <v>1287.1807228915663</v>
      </c>
    </row>
    <row r="77" spans="1:44" ht="12.75">
      <c r="A77" s="2" t="s">
        <v>13</v>
      </c>
      <c r="B77" s="4">
        <v>726</v>
      </c>
      <c r="C77" s="4">
        <v>755</v>
      </c>
      <c r="D77" s="4">
        <v>1062</v>
      </c>
      <c r="E77" s="4">
        <v>914</v>
      </c>
      <c r="F77" s="17">
        <v>1148</v>
      </c>
      <c r="G77" s="7">
        <f>25761/20</f>
        <v>1288.05</v>
      </c>
      <c r="H77" s="7">
        <f>58664/83</f>
        <v>706.7951807228916</v>
      </c>
      <c r="J77" s="3" t="s">
        <v>13</v>
      </c>
      <c r="K77" s="4">
        <v>885</v>
      </c>
      <c r="L77" s="4">
        <v>947</v>
      </c>
      <c r="M77" s="4">
        <v>1015</v>
      </c>
      <c r="N77" s="4">
        <v>1159</v>
      </c>
      <c r="O77" s="17">
        <v>1262</v>
      </c>
      <c r="P77" s="7">
        <f>25761/20</f>
        <v>1288.05</v>
      </c>
      <c r="Q77" s="7">
        <f>58664/83</f>
        <v>706.7951807228916</v>
      </c>
      <c r="S77" s="3" t="s">
        <v>13</v>
      </c>
      <c r="T77" s="4">
        <v>529</v>
      </c>
      <c r="U77" s="4">
        <v>583</v>
      </c>
      <c r="V77" s="4">
        <v>644</v>
      </c>
      <c r="W77" s="4">
        <v>796</v>
      </c>
      <c r="X77" s="17">
        <v>966</v>
      </c>
      <c r="Y77" s="7">
        <f>25761/20</f>
        <v>1288.05</v>
      </c>
      <c r="Z77" s="7">
        <f>58664/83</f>
        <v>706.7951807228916</v>
      </c>
      <c r="AB77" s="3" t="s">
        <v>13</v>
      </c>
      <c r="AC77" s="4">
        <v>381</v>
      </c>
      <c r="AD77" s="4">
        <v>413</v>
      </c>
      <c r="AE77" s="4">
        <v>600</v>
      </c>
      <c r="AF77" s="4">
        <v>571</v>
      </c>
      <c r="AG77" s="17">
        <v>483</v>
      </c>
      <c r="AH77" s="7">
        <f>25761/20</f>
        <v>1288.05</v>
      </c>
      <c r="AI77" s="7">
        <f>58664/83</f>
        <v>706.7951807228916</v>
      </c>
      <c r="AK77" s="3" t="s">
        <v>13</v>
      </c>
      <c r="AL77" s="4">
        <v>1799</v>
      </c>
      <c r="AM77" s="4">
        <v>2057</v>
      </c>
      <c r="AN77" s="4">
        <v>2371</v>
      </c>
      <c r="AO77" s="4">
        <v>3278</v>
      </c>
      <c r="AP77" s="17">
        <v>3023</v>
      </c>
      <c r="AQ77" s="7">
        <f>25761/20</f>
        <v>1288.05</v>
      </c>
      <c r="AR77" s="7">
        <f>58664/83</f>
        <v>706.7951807228916</v>
      </c>
    </row>
    <row r="78" spans="1:44" ht="12.75">
      <c r="A78" s="2"/>
      <c r="B78" s="3"/>
      <c r="C78" s="3"/>
      <c r="D78" s="3"/>
      <c r="E78" s="4"/>
      <c r="F78" s="17"/>
      <c r="G78" s="3"/>
      <c r="H78" s="3"/>
      <c r="J78" s="3"/>
      <c r="K78" s="3"/>
      <c r="L78" s="3"/>
      <c r="M78" s="3"/>
      <c r="N78" s="4"/>
      <c r="O78" s="17"/>
      <c r="P78" s="3"/>
      <c r="Q78" s="3"/>
      <c r="S78" s="3"/>
      <c r="T78" s="3"/>
      <c r="U78" s="3"/>
      <c r="V78" s="3"/>
      <c r="W78" s="4"/>
      <c r="X78" s="17"/>
      <c r="Y78" s="3"/>
      <c r="Z78" s="3"/>
      <c r="AB78" s="3"/>
      <c r="AC78" s="3"/>
      <c r="AD78" s="3"/>
      <c r="AE78" s="3"/>
      <c r="AF78" s="4"/>
      <c r="AG78" s="17"/>
      <c r="AH78" s="3"/>
      <c r="AI78" s="3"/>
      <c r="AK78" s="3"/>
      <c r="AL78" s="3"/>
      <c r="AM78" s="3"/>
      <c r="AN78" s="3"/>
      <c r="AO78" s="4"/>
      <c r="AP78" s="17"/>
      <c r="AQ78" s="3"/>
      <c r="AR78" s="3"/>
    </row>
    <row r="79" spans="1:44" ht="12.75">
      <c r="A79" s="48" t="s">
        <v>14</v>
      </c>
      <c r="B79" s="5">
        <v>7.49</v>
      </c>
      <c r="C79" s="5">
        <v>6.52</v>
      </c>
      <c r="D79" s="5">
        <v>5.27</v>
      </c>
      <c r="E79" s="5">
        <v>4.65</v>
      </c>
      <c r="F79" s="18">
        <v>4.61</v>
      </c>
      <c r="G79" s="5">
        <v>4.26</v>
      </c>
      <c r="H79" s="5">
        <v>4.35</v>
      </c>
      <c r="I79" s="6"/>
      <c r="J79" s="6" t="s">
        <v>14</v>
      </c>
      <c r="K79" s="5">
        <v>7.17</v>
      </c>
      <c r="L79" s="5">
        <v>6.36</v>
      </c>
      <c r="M79" s="5">
        <v>5.26</v>
      </c>
      <c r="N79" s="5">
        <v>4.64</v>
      </c>
      <c r="O79" s="18">
        <v>4.65</v>
      </c>
      <c r="P79" s="5">
        <v>4.26</v>
      </c>
      <c r="Q79" s="5">
        <v>4.35</v>
      </c>
      <c r="R79" s="6"/>
      <c r="S79" s="6" t="s">
        <v>14</v>
      </c>
      <c r="T79" s="5">
        <v>7.55</v>
      </c>
      <c r="U79" s="5">
        <v>6.82</v>
      </c>
      <c r="V79" s="5">
        <v>5.35</v>
      </c>
      <c r="W79" s="5">
        <v>4.67</v>
      </c>
      <c r="X79" s="18">
        <v>4.92</v>
      </c>
      <c r="Y79" s="5">
        <v>4.26</v>
      </c>
      <c r="Z79" s="5">
        <v>4.35</v>
      </c>
      <c r="AA79" s="6"/>
      <c r="AB79" s="6" t="s">
        <v>14</v>
      </c>
      <c r="AC79" s="5">
        <v>7.45</v>
      </c>
      <c r="AD79" s="5">
        <v>6.65</v>
      </c>
      <c r="AE79" s="5">
        <v>5.63</v>
      </c>
      <c r="AF79" s="5">
        <v>4.66</v>
      </c>
      <c r="AG79" s="18">
        <v>4.1</v>
      </c>
      <c r="AH79" s="5">
        <v>4.26</v>
      </c>
      <c r="AI79" s="5">
        <v>4.35</v>
      </c>
      <c r="AJ79" s="6"/>
      <c r="AK79" s="6" t="s">
        <v>14</v>
      </c>
      <c r="AL79" s="5">
        <v>6.87</v>
      </c>
      <c r="AM79" s="5">
        <v>5.91</v>
      </c>
      <c r="AN79" s="5">
        <v>4.76</v>
      </c>
      <c r="AO79" s="5">
        <v>4.31</v>
      </c>
      <c r="AP79" s="18">
        <v>4.03</v>
      </c>
      <c r="AQ79" s="5">
        <v>4.26</v>
      </c>
      <c r="AR79" s="5">
        <v>4.35</v>
      </c>
    </row>
    <row r="80" spans="1:44" ht="12.75">
      <c r="A80" s="48" t="s">
        <v>18</v>
      </c>
      <c r="B80" s="5">
        <v>3.17</v>
      </c>
      <c r="C80" s="5">
        <v>3.29</v>
      </c>
      <c r="D80" s="5">
        <v>3.6</v>
      </c>
      <c r="E80" s="5">
        <v>3.85</v>
      </c>
      <c r="F80" s="18">
        <v>4.09</v>
      </c>
      <c r="G80" s="5">
        <v>3.86</v>
      </c>
      <c r="H80" s="5">
        <v>3.79</v>
      </c>
      <c r="I80" s="6"/>
      <c r="J80" s="6" t="s">
        <v>18</v>
      </c>
      <c r="K80" s="5">
        <v>3.69</v>
      </c>
      <c r="L80" s="5">
        <v>4.19</v>
      </c>
      <c r="M80" s="5">
        <v>4.54</v>
      </c>
      <c r="N80" s="5">
        <v>4.56</v>
      </c>
      <c r="O80" s="18">
        <v>4.12</v>
      </c>
      <c r="P80" s="5">
        <v>3.86</v>
      </c>
      <c r="Q80" s="5">
        <v>3.79</v>
      </c>
      <c r="R80" s="6"/>
      <c r="S80" s="6" t="s">
        <v>18</v>
      </c>
      <c r="T80" s="5">
        <v>3.67</v>
      </c>
      <c r="U80" s="5">
        <v>3.47</v>
      </c>
      <c r="V80" s="5">
        <v>3.65</v>
      </c>
      <c r="W80" s="5">
        <v>3.39</v>
      </c>
      <c r="X80" s="18">
        <v>3.11</v>
      </c>
      <c r="Y80" s="5">
        <v>3.86</v>
      </c>
      <c r="Z80" s="5">
        <v>3.79</v>
      </c>
      <c r="AA80" s="6"/>
      <c r="AB80" s="6" t="s">
        <v>18</v>
      </c>
      <c r="AC80" s="5">
        <v>3.44</v>
      </c>
      <c r="AD80" s="5">
        <v>3.92</v>
      </c>
      <c r="AE80" s="5">
        <v>4.38</v>
      </c>
      <c r="AF80" s="5">
        <v>5.16</v>
      </c>
      <c r="AG80" s="18">
        <v>4.49</v>
      </c>
      <c r="AH80" s="5">
        <v>3.86</v>
      </c>
      <c r="AI80" s="5">
        <v>3.79</v>
      </c>
      <c r="AJ80" s="6"/>
      <c r="AK80" s="6" t="s">
        <v>18</v>
      </c>
      <c r="AL80" s="5">
        <v>3.76</v>
      </c>
      <c r="AM80" s="5">
        <v>4.04</v>
      </c>
      <c r="AN80" s="5">
        <v>4.11</v>
      </c>
      <c r="AO80" s="5">
        <v>3.58</v>
      </c>
      <c r="AP80" s="18">
        <v>3.88</v>
      </c>
      <c r="AQ80" s="5">
        <v>3.86</v>
      </c>
      <c r="AR80" s="5">
        <v>3.79</v>
      </c>
    </row>
    <row r="81" spans="1:44" ht="12.75">
      <c r="A81" s="48" t="s">
        <v>54</v>
      </c>
      <c r="B81" s="5">
        <v>22.62</v>
      </c>
      <c r="C81" s="5">
        <v>23.35</v>
      </c>
      <c r="D81" s="5">
        <v>33.03</v>
      </c>
      <c r="E81" s="5">
        <v>25.69</v>
      </c>
      <c r="F81" s="18">
        <v>25.76</v>
      </c>
      <c r="G81" s="5">
        <v>21.37</v>
      </c>
      <c r="H81" s="5">
        <v>20.17</v>
      </c>
      <c r="I81" s="6"/>
      <c r="J81" s="6" t="s">
        <v>54</v>
      </c>
      <c r="K81" s="5">
        <v>21.38</v>
      </c>
      <c r="L81" s="5">
        <v>22.41</v>
      </c>
      <c r="M81" s="5">
        <v>23.77</v>
      </c>
      <c r="N81" s="5">
        <v>25.92</v>
      </c>
      <c r="O81" s="18">
        <v>24.82</v>
      </c>
      <c r="P81" s="5">
        <v>21.37</v>
      </c>
      <c r="Q81" s="5">
        <v>20.17</v>
      </c>
      <c r="R81" s="6"/>
      <c r="S81" s="6" t="s">
        <v>54</v>
      </c>
      <c r="T81" s="5">
        <v>11.11</v>
      </c>
      <c r="U81" s="5">
        <v>13.01</v>
      </c>
      <c r="V81" s="5">
        <v>14.72</v>
      </c>
      <c r="W81" s="5">
        <v>13.96</v>
      </c>
      <c r="X81" s="18">
        <v>14.38</v>
      </c>
      <c r="Y81" s="5">
        <v>21.37</v>
      </c>
      <c r="Z81" s="5">
        <v>20.17</v>
      </c>
      <c r="AA81" s="6"/>
      <c r="AB81" s="6" t="s">
        <v>54</v>
      </c>
      <c r="AC81" s="5">
        <v>21.11</v>
      </c>
      <c r="AD81" s="5">
        <v>23.96</v>
      </c>
      <c r="AE81" s="5">
        <v>34.68</v>
      </c>
      <c r="AF81" s="5">
        <v>36.66</v>
      </c>
      <c r="AG81" s="18">
        <v>31.39</v>
      </c>
      <c r="AH81" s="5">
        <v>21.37</v>
      </c>
      <c r="AI81" s="5">
        <v>20.17</v>
      </c>
      <c r="AJ81" s="6"/>
      <c r="AK81" s="6" t="s">
        <v>54</v>
      </c>
      <c r="AL81" s="5">
        <v>21.4</v>
      </c>
      <c r="AM81" s="5">
        <v>23</v>
      </c>
      <c r="AN81" s="5">
        <v>25.35</v>
      </c>
      <c r="AO81" s="5">
        <v>31.35</v>
      </c>
      <c r="AP81" s="18">
        <v>26.64</v>
      </c>
      <c r="AQ81" s="5">
        <v>21.37</v>
      </c>
      <c r="AR81" s="5">
        <v>20.17</v>
      </c>
    </row>
    <row r="82" spans="1:44" ht="12.75">
      <c r="A82" s="48"/>
      <c r="B82" s="6"/>
      <c r="C82" s="6"/>
      <c r="D82" s="6"/>
      <c r="E82" s="5"/>
      <c r="F82" s="18"/>
      <c r="G82" s="6"/>
      <c r="H82" s="6"/>
      <c r="I82" s="6"/>
      <c r="J82" s="6"/>
      <c r="K82" s="6"/>
      <c r="L82" s="6"/>
      <c r="M82" s="6"/>
      <c r="N82" s="5"/>
      <c r="O82" s="18"/>
      <c r="P82" s="6"/>
      <c r="Q82" s="6"/>
      <c r="R82" s="6"/>
      <c r="S82" s="6"/>
      <c r="T82" s="6"/>
      <c r="U82" s="6"/>
      <c r="V82" s="6"/>
      <c r="W82" s="5"/>
      <c r="X82" s="18"/>
      <c r="Y82" s="6"/>
      <c r="Z82" s="6"/>
      <c r="AA82" s="6"/>
      <c r="AB82" s="6"/>
      <c r="AC82" s="6"/>
      <c r="AD82" s="6"/>
      <c r="AE82" s="6"/>
      <c r="AF82" s="5"/>
      <c r="AG82" s="18"/>
      <c r="AH82" s="6"/>
      <c r="AI82" s="6"/>
      <c r="AJ82" s="6"/>
      <c r="AK82" s="6"/>
      <c r="AL82" s="6"/>
      <c r="AM82" s="6"/>
      <c r="AN82" s="6"/>
      <c r="AO82" s="5"/>
      <c r="AP82" s="18"/>
      <c r="AQ82" s="6"/>
      <c r="AR82" s="6"/>
    </row>
    <row r="83" spans="1:44" ht="12.75">
      <c r="A83" s="48" t="s">
        <v>15</v>
      </c>
      <c r="B83" s="5">
        <v>0.13</v>
      </c>
      <c r="C83" s="5">
        <v>0.65</v>
      </c>
      <c r="D83" s="5">
        <v>1.21</v>
      </c>
      <c r="E83" s="5">
        <v>1.08</v>
      </c>
      <c r="F83" s="18">
        <v>1.16</v>
      </c>
      <c r="G83" s="5">
        <v>0.88</v>
      </c>
      <c r="H83" s="5">
        <v>1</v>
      </c>
      <c r="I83" s="6"/>
      <c r="J83" s="6" t="s">
        <v>15</v>
      </c>
      <c r="K83" s="5">
        <v>0.65</v>
      </c>
      <c r="L83" s="5">
        <v>1.01</v>
      </c>
      <c r="M83" s="5">
        <v>1.08</v>
      </c>
      <c r="N83" s="5">
        <v>1.28</v>
      </c>
      <c r="O83" s="18">
        <v>1.32</v>
      </c>
      <c r="P83" s="5">
        <v>0.88</v>
      </c>
      <c r="Q83" s="5">
        <v>1</v>
      </c>
      <c r="R83" s="6"/>
      <c r="S83" s="6" t="s">
        <v>15</v>
      </c>
      <c r="T83" s="5">
        <v>1</v>
      </c>
      <c r="U83" s="5">
        <v>1.3</v>
      </c>
      <c r="V83" s="5">
        <v>1.7</v>
      </c>
      <c r="W83" s="5">
        <v>2.01</v>
      </c>
      <c r="X83" s="18">
        <v>1.39</v>
      </c>
      <c r="Y83" s="5">
        <v>0.88</v>
      </c>
      <c r="Z83" s="5">
        <v>1</v>
      </c>
      <c r="AA83" s="6"/>
      <c r="AB83" s="6" t="s">
        <v>15</v>
      </c>
      <c r="AC83" s="5">
        <v>0.17</v>
      </c>
      <c r="AD83" s="5">
        <v>0.03</v>
      </c>
      <c r="AE83" s="5">
        <v>0.06</v>
      </c>
      <c r="AF83" s="5">
        <v>-0.45</v>
      </c>
      <c r="AG83" s="18">
        <v>0.64</v>
      </c>
      <c r="AH83" s="5">
        <v>0.88</v>
      </c>
      <c r="AI83" s="5">
        <v>1</v>
      </c>
      <c r="AJ83" s="6"/>
      <c r="AK83" s="6" t="s">
        <v>15</v>
      </c>
      <c r="AL83" s="5">
        <v>0.77</v>
      </c>
      <c r="AM83" s="5">
        <v>0.98</v>
      </c>
      <c r="AN83" s="5">
        <v>1.08</v>
      </c>
      <c r="AO83" s="5">
        <v>1.17</v>
      </c>
      <c r="AP83" s="18">
        <v>1.09</v>
      </c>
      <c r="AQ83" s="5">
        <v>0.88</v>
      </c>
      <c r="AR83" s="5">
        <v>1</v>
      </c>
    </row>
    <row r="84" spans="1:44" ht="12.75">
      <c r="A84" s="48" t="s">
        <v>16</v>
      </c>
      <c r="B84" s="5">
        <v>1.7</v>
      </c>
      <c r="C84" s="5">
        <v>10.85</v>
      </c>
      <c r="D84" s="5">
        <v>12.82</v>
      </c>
      <c r="E84" s="5">
        <v>14.14</v>
      </c>
      <c r="F84" s="18">
        <v>13.19</v>
      </c>
      <c r="G84" s="5">
        <v>12.38</v>
      </c>
      <c r="H84" s="6">
        <v>12.24</v>
      </c>
      <c r="I84" s="6"/>
      <c r="J84" s="6" t="s">
        <v>16</v>
      </c>
      <c r="K84" s="5">
        <v>10.82</v>
      </c>
      <c r="L84" s="5">
        <v>11.3</v>
      </c>
      <c r="M84" s="5">
        <v>12.49</v>
      </c>
      <c r="N84" s="5">
        <v>14.21</v>
      </c>
      <c r="O84" s="18">
        <v>13.04</v>
      </c>
      <c r="P84" s="5">
        <v>12.38</v>
      </c>
      <c r="Q84" s="6">
        <v>12.24</v>
      </c>
      <c r="R84" s="6"/>
      <c r="S84" s="6" t="s">
        <v>16</v>
      </c>
      <c r="T84" s="5">
        <v>10.99</v>
      </c>
      <c r="U84" s="5">
        <v>14.04</v>
      </c>
      <c r="V84" s="5">
        <v>14.47</v>
      </c>
      <c r="W84" s="5">
        <v>9.21</v>
      </c>
      <c r="X84" s="18">
        <v>12.46</v>
      </c>
      <c r="Y84" s="5">
        <v>12.38</v>
      </c>
      <c r="Z84" s="6">
        <v>12.24</v>
      </c>
      <c r="AA84" s="6"/>
      <c r="AB84" s="6" t="s">
        <v>16</v>
      </c>
      <c r="AC84" s="5">
        <v>10.7</v>
      </c>
      <c r="AD84" s="5">
        <v>10.43</v>
      </c>
      <c r="AE84" s="5">
        <v>11.06</v>
      </c>
      <c r="AF84" s="5">
        <v>9.46</v>
      </c>
      <c r="AG84" s="18">
        <v>12.83</v>
      </c>
      <c r="AH84" s="5">
        <v>12.38</v>
      </c>
      <c r="AI84" s="6">
        <v>12.24</v>
      </c>
      <c r="AJ84" s="6"/>
      <c r="AK84" s="6" t="s">
        <v>16</v>
      </c>
      <c r="AL84" s="5">
        <v>10.7</v>
      </c>
      <c r="AM84" s="5">
        <v>12.02</v>
      </c>
      <c r="AN84" s="5">
        <v>13.1</v>
      </c>
      <c r="AO84" s="5">
        <v>14.78</v>
      </c>
      <c r="AP84" s="18">
        <v>11.95</v>
      </c>
      <c r="AQ84" s="5">
        <v>12.38</v>
      </c>
      <c r="AR84" s="6">
        <v>12.24</v>
      </c>
    </row>
    <row r="85" spans="1:44" ht="12.75">
      <c r="A85" s="48" t="s">
        <v>17</v>
      </c>
      <c r="B85" s="6">
        <v>8.28</v>
      </c>
      <c r="C85" s="6">
        <v>6.15</v>
      </c>
      <c r="D85" s="6">
        <v>2.71</v>
      </c>
      <c r="E85" s="5">
        <v>1.35</v>
      </c>
      <c r="F85" s="18">
        <v>0.79</v>
      </c>
      <c r="G85" s="5">
        <v>1.28</v>
      </c>
      <c r="H85" s="5">
        <v>1.22</v>
      </c>
      <c r="I85" s="6"/>
      <c r="J85" s="6" t="s">
        <v>17</v>
      </c>
      <c r="K85" s="6">
        <v>6.32</v>
      </c>
      <c r="L85" s="6">
        <v>5.23</v>
      </c>
      <c r="M85" s="6">
        <v>2.85</v>
      </c>
      <c r="N85" s="5">
        <v>1.27</v>
      </c>
      <c r="O85" s="18">
        <v>0.65</v>
      </c>
      <c r="P85" s="5">
        <v>1.28</v>
      </c>
      <c r="Q85" s="5">
        <v>1.22</v>
      </c>
      <c r="R85" s="6"/>
      <c r="S85" s="6" t="s">
        <v>17</v>
      </c>
      <c r="T85" s="6">
        <v>3.2</v>
      </c>
      <c r="U85" s="6">
        <v>1.4</v>
      </c>
      <c r="V85" s="6">
        <v>0</v>
      </c>
      <c r="W85" s="5">
        <v>1.29</v>
      </c>
      <c r="X85" s="18">
        <v>0.49</v>
      </c>
      <c r="Y85" s="5">
        <v>1.28</v>
      </c>
      <c r="Z85" s="5">
        <v>1.22</v>
      </c>
      <c r="AA85" s="6"/>
      <c r="AB85" s="6" t="s">
        <v>17</v>
      </c>
      <c r="AC85" s="6">
        <v>11.7</v>
      </c>
      <c r="AD85" s="6">
        <v>10.89</v>
      </c>
      <c r="AE85" s="6">
        <v>9.62</v>
      </c>
      <c r="AF85" s="5">
        <v>8.11</v>
      </c>
      <c r="AG85" s="18">
        <v>2.43</v>
      </c>
      <c r="AH85" s="5">
        <v>1.28</v>
      </c>
      <c r="AI85" s="5">
        <v>1.22</v>
      </c>
      <c r="AJ85" s="6"/>
      <c r="AK85" s="6" t="s">
        <v>17</v>
      </c>
      <c r="AL85" s="6">
        <v>5.32</v>
      </c>
      <c r="AM85" s="6">
        <v>3.86</v>
      </c>
      <c r="AN85" s="6">
        <v>0.98</v>
      </c>
      <c r="AO85" s="5">
        <v>0.2</v>
      </c>
      <c r="AP85" s="18">
        <v>0.29</v>
      </c>
      <c r="AQ85" s="5">
        <v>1.28</v>
      </c>
      <c r="AR85" s="5">
        <v>1.22</v>
      </c>
    </row>
    <row r="86" spans="1:44" ht="12.75">
      <c r="A86" s="3"/>
      <c r="B86" s="3"/>
      <c r="C86" s="3"/>
      <c r="D86" s="3"/>
      <c r="E86" s="3"/>
      <c r="F86" s="3"/>
      <c r="G86" s="3"/>
      <c r="H86" s="3"/>
      <c r="J86" s="3"/>
      <c r="K86" s="3"/>
      <c r="L86" s="3"/>
      <c r="M86" s="3"/>
      <c r="N86" s="3"/>
      <c r="O86" s="3"/>
      <c r="P86" s="3"/>
      <c r="Q86" s="3"/>
      <c r="S86" s="3"/>
      <c r="T86" s="3"/>
      <c r="U86" s="3"/>
      <c r="V86" s="3"/>
      <c r="W86" s="3"/>
      <c r="X86" s="3"/>
      <c r="Y86" s="3"/>
      <c r="Z86" s="3"/>
      <c r="AB86" s="3"/>
      <c r="AC86" s="3"/>
      <c r="AD86" s="3"/>
      <c r="AE86" s="3"/>
      <c r="AF86" s="3"/>
      <c r="AG86" s="3"/>
      <c r="AH86" s="3"/>
      <c r="AI86" s="3"/>
      <c r="AK86" s="3"/>
      <c r="AL86" s="3"/>
      <c r="AM86" s="3"/>
      <c r="AN86" s="3"/>
      <c r="AO86" s="3"/>
      <c r="AP86" s="3"/>
      <c r="AQ86" s="3"/>
      <c r="AR86" s="3"/>
    </row>
    <row r="88" spans="1:44" ht="12.75">
      <c r="A88" s="26" t="s">
        <v>21</v>
      </c>
      <c r="B88" s="27"/>
      <c r="C88" s="27"/>
      <c r="D88" s="27"/>
      <c r="E88" s="27"/>
      <c r="F88" s="27"/>
      <c r="G88" s="27"/>
      <c r="H88" s="26" t="s">
        <v>28</v>
      </c>
      <c r="J88" s="26" t="s">
        <v>21</v>
      </c>
      <c r="K88" s="27"/>
      <c r="L88" s="27"/>
      <c r="M88" s="27"/>
      <c r="N88" s="27"/>
      <c r="O88" s="27"/>
      <c r="P88" s="27"/>
      <c r="Q88" s="26" t="s">
        <v>73</v>
      </c>
      <c r="S88" s="26" t="s">
        <v>21</v>
      </c>
      <c r="T88" s="27"/>
      <c r="U88" s="27"/>
      <c r="V88" s="27"/>
      <c r="W88" s="27"/>
      <c r="X88" s="27"/>
      <c r="Y88" s="26" t="s">
        <v>74</v>
      </c>
      <c r="Z88" s="27"/>
      <c r="AB88" s="26" t="s">
        <v>21</v>
      </c>
      <c r="AC88" s="27"/>
      <c r="AD88" s="27"/>
      <c r="AE88" s="27"/>
      <c r="AF88" s="27"/>
      <c r="AG88" s="27"/>
      <c r="AH88" s="26" t="s">
        <v>75</v>
      </c>
      <c r="AI88" s="27"/>
      <c r="AK88" s="26" t="s">
        <v>21</v>
      </c>
      <c r="AL88" s="27"/>
      <c r="AM88" s="27"/>
      <c r="AN88" s="27"/>
      <c r="AO88" s="27"/>
      <c r="AP88" s="27"/>
      <c r="AQ88" s="27"/>
      <c r="AR88" s="26" t="s">
        <v>76</v>
      </c>
    </row>
    <row r="89" spans="1:45" s="29" customFormat="1" ht="11.25">
      <c r="A89" s="40"/>
      <c r="B89" s="40"/>
      <c r="C89" s="40"/>
      <c r="D89" s="40"/>
      <c r="E89" s="40"/>
      <c r="F89" s="40"/>
      <c r="H89" s="36" t="s">
        <v>19</v>
      </c>
      <c r="I89" s="40"/>
      <c r="J89" s="40"/>
      <c r="K89" s="40"/>
      <c r="L89" s="40"/>
      <c r="M89" s="40"/>
      <c r="N89" s="40"/>
      <c r="O89" s="40"/>
      <c r="Q89" s="36" t="s">
        <v>19</v>
      </c>
      <c r="R89" s="40"/>
      <c r="S89" s="40"/>
      <c r="T89" s="40"/>
      <c r="U89" s="40"/>
      <c r="V89" s="40"/>
      <c r="W89" s="40"/>
      <c r="X89" s="40"/>
      <c r="Z89" s="36" t="s">
        <v>19</v>
      </c>
      <c r="AA89" s="40"/>
      <c r="AB89" s="40"/>
      <c r="AC89" s="40"/>
      <c r="AD89" s="40"/>
      <c r="AE89" s="40"/>
      <c r="AF89" s="40"/>
      <c r="AG89" s="40"/>
      <c r="AI89" s="36" t="s">
        <v>19</v>
      </c>
      <c r="AJ89" s="40"/>
      <c r="AK89" s="40"/>
      <c r="AL89" s="40"/>
      <c r="AM89" s="40"/>
      <c r="AN89" s="40"/>
      <c r="AO89" s="40"/>
      <c r="AP89" s="40"/>
      <c r="AR89" s="36" t="s">
        <v>19</v>
      </c>
      <c r="AS89" s="40"/>
    </row>
    <row r="90" spans="1:44" ht="12.75">
      <c r="A90" s="32" t="s">
        <v>4</v>
      </c>
      <c r="B90" s="17" t="s">
        <v>0</v>
      </c>
      <c r="C90" s="17" t="s">
        <v>1</v>
      </c>
      <c r="D90" s="17" t="s">
        <v>2</v>
      </c>
      <c r="E90" s="17" t="s">
        <v>3</v>
      </c>
      <c r="F90" s="17" t="s">
        <v>117</v>
      </c>
      <c r="G90" s="17" t="s">
        <v>53</v>
      </c>
      <c r="H90" s="17" t="s">
        <v>111</v>
      </c>
      <c r="J90" s="17" t="s">
        <v>4</v>
      </c>
      <c r="K90" s="17" t="s">
        <v>0</v>
      </c>
      <c r="L90" s="17" t="s">
        <v>1</v>
      </c>
      <c r="M90" s="17" t="s">
        <v>2</v>
      </c>
      <c r="N90" s="17" t="s">
        <v>3</v>
      </c>
      <c r="O90" s="17" t="s">
        <v>117</v>
      </c>
      <c r="P90" s="17" t="s">
        <v>53</v>
      </c>
      <c r="Q90" s="17" t="s">
        <v>111</v>
      </c>
      <c r="S90" s="17" t="s">
        <v>4</v>
      </c>
      <c r="T90" s="17" t="s">
        <v>0</v>
      </c>
      <c r="U90" s="17" t="s">
        <v>1</v>
      </c>
      <c r="V90" s="17" t="s">
        <v>2</v>
      </c>
      <c r="W90" s="17" t="s">
        <v>3</v>
      </c>
      <c r="X90" s="17" t="s">
        <v>117</v>
      </c>
      <c r="Y90" s="17" t="s">
        <v>53</v>
      </c>
      <c r="Z90" s="17" t="s">
        <v>111</v>
      </c>
      <c r="AB90" s="17" t="s">
        <v>4</v>
      </c>
      <c r="AC90" s="17" t="s">
        <v>0</v>
      </c>
      <c r="AD90" s="17" t="s">
        <v>1</v>
      </c>
      <c r="AE90" s="17" t="s">
        <v>2</v>
      </c>
      <c r="AF90" s="17" t="s">
        <v>3</v>
      </c>
      <c r="AG90" s="17" t="s">
        <v>117</v>
      </c>
      <c r="AH90" s="17" t="s">
        <v>53</v>
      </c>
      <c r="AI90" s="17" t="s">
        <v>111</v>
      </c>
      <c r="AK90" s="17" t="s">
        <v>4</v>
      </c>
      <c r="AL90" s="17" t="s">
        <v>0</v>
      </c>
      <c r="AM90" s="17" t="s">
        <v>1</v>
      </c>
      <c r="AN90" s="17" t="s">
        <v>2</v>
      </c>
      <c r="AO90" s="17" t="s">
        <v>3</v>
      </c>
      <c r="AP90" s="17" t="s">
        <v>117</v>
      </c>
      <c r="AQ90" s="17" t="s">
        <v>53</v>
      </c>
      <c r="AR90" s="17" t="s">
        <v>111</v>
      </c>
    </row>
    <row r="91" spans="1:44" ht="12.75">
      <c r="A91" s="32"/>
      <c r="B91" s="17"/>
      <c r="C91" s="17"/>
      <c r="D91" s="17"/>
      <c r="E91" s="17"/>
      <c r="F91" s="17"/>
      <c r="G91" s="28" t="s">
        <v>117</v>
      </c>
      <c r="H91" s="28" t="s">
        <v>117</v>
      </c>
      <c r="J91" s="17"/>
      <c r="K91" s="17"/>
      <c r="L91" s="17"/>
      <c r="M91" s="17"/>
      <c r="N91" s="17"/>
      <c r="O91" s="17"/>
      <c r="P91" s="28" t="s">
        <v>117</v>
      </c>
      <c r="Q91" s="28" t="s">
        <v>117</v>
      </c>
      <c r="S91" s="17"/>
      <c r="T91" s="17"/>
      <c r="U91" s="17"/>
      <c r="V91" s="17"/>
      <c r="W91" s="17"/>
      <c r="X91" s="17"/>
      <c r="Y91" s="28" t="s">
        <v>117</v>
      </c>
      <c r="Z91" s="28" t="s">
        <v>117</v>
      </c>
      <c r="AB91" s="17"/>
      <c r="AC91" s="17"/>
      <c r="AD91" s="17"/>
      <c r="AE91" s="17"/>
      <c r="AF91" s="17"/>
      <c r="AG91" s="17"/>
      <c r="AH91" s="28" t="s">
        <v>117</v>
      </c>
      <c r="AI91" s="28" t="s">
        <v>117</v>
      </c>
      <c r="AK91" s="17"/>
      <c r="AL91" s="17"/>
      <c r="AM91" s="17"/>
      <c r="AN91" s="17"/>
      <c r="AO91" s="17"/>
      <c r="AP91" s="17"/>
      <c r="AQ91" s="28" t="s">
        <v>117</v>
      </c>
      <c r="AR91" s="28" t="s">
        <v>117</v>
      </c>
    </row>
    <row r="92" spans="1:44" ht="12.75">
      <c r="A92" s="3" t="s">
        <v>5</v>
      </c>
      <c r="B92" s="3">
        <v>1849</v>
      </c>
      <c r="C92" s="3">
        <v>1840</v>
      </c>
      <c r="D92" s="3">
        <v>1875</v>
      </c>
      <c r="E92" s="4">
        <v>1905</v>
      </c>
      <c r="F92" s="17">
        <v>1974</v>
      </c>
      <c r="G92" s="7">
        <f>35356/20</f>
        <v>1767.8</v>
      </c>
      <c r="H92" s="7">
        <f>(14039+35356+261+6746)/83</f>
        <v>679.5421686746988</v>
      </c>
      <c r="J92" s="3" t="s">
        <v>5</v>
      </c>
      <c r="K92" s="3">
        <v>1795</v>
      </c>
      <c r="L92" s="3">
        <v>1796</v>
      </c>
      <c r="M92" s="3">
        <v>1789</v>
      </c>
      <c r="N92" s="4">
        <v>1798</v>
      </c>
      <c r="O92" s="17">
        <v>1815</v>
      </c>
      <c r="P92" s="7">
        <f>35356/20</f>
        <v>1767.8</v>
      </c>
      <c r="Q92" s="7">
        <f>(14039+35356+261+6746)/83</f>
        <v>679.5421686746988</v>
      </c>
      <c r="S92" s="3" t="s">
        <v>5</v>
      </c>
      <c r="T92" s="3">
        <v>2117</v>
      </c>
      <c r="U92" s="3">
        <v>2112</v>
      </c>
      <c r="V92" s="3">
        <v>2109</v>
      </c>
      <c r="W92" s="4">
        <v>2139</v>
      </c>
      <c r="X92" s="17">
        <v>2169</v>
      </c>
      <c r="Y92" s="7">
        <f>35356/20</f>
        <v>1767.8</v>
      </c>
      <c r="Z92" s="7">
        <f>(14039+35356+261+6746)/83</f>
        <v>679.5421686746988</v>
      </c>
      <c r="AB92" s="3" t="s">
        <v>5</v>
      </c>
      <c r="AC92" s="3">
        <v>1341</v>
      </c>
      <c r="AD92" s="3">
        <v>1336</v>
      </c>
      <c r="AE92" s="3">
        <v>1338</v>
      </c>
      <c r="AF92" s="4">
        <v>1345</v>
      </c>
      <c r="AG92" s="17">
        <v>1350</v>
      </c>
      <c r="AH92" s="7">
        <f>35356/20</f>
        <v>1767.8</v>
      </c>
      <c r="AI92" s="7">
        <f>(14039+35356+261+6746)/83</f>
        <v>679.5421686746988</v>
      </c>
      <c r="AK92" s="3" t="s">
        <v>5</v>
      </c>
      <c r="AL92" s="3">
        <v>886</v>
      </c>
      <c r="AM92" s="3">
        <v>899</v>
      </c>
      <c r="AN92" s="3">
        <v>927</v>
      </c>
      <c r="AO92" s="4">
        <v>968</v>
      </c>
      <c r="AP92" s="17">
        <v>979</v>
      </c>
      <c r="AQ92" s="7">
        <f>35356/20</f>
        <v>1767.8</v>
      </c>
      <c r="AR92" s="7">
        <f>(14039+35356+261+6746)/83</f>
        <v>679.5421686746988</v>
      </c>
    </row>
    <row r="93" spans="1:44" ht="12.75">
      <c r="A93" s="2" t="s">
        <v>6</v>
      </c>
      <c r="B93" s="3">
        <v>25570</v>
      </c>
      <c r="C93" s="3">
        <v>27105</v>
      </c>
      <c r="D93" s="3">
        <v>26746</v>
      </c>
      <c r="E93" s="4">
        <v>24834</v>
      </c>
      <c r="F93" s="17">
        <v>24624</v>
      </c>
      <c r="G93" s="7">
        <v>23375</v>
      </c>
      <c r="H93" s="7">
        <v>10458</v>
      </c>
      <c r="J93" s="3" t="s">
        <v>6</v>
      </c>
      <c r="K93" s="3">
        <v>25567</v>
      </c>
      <c r="L93" s="3">
        <v>25060</v>
      </c>
      <c r="M93" s="3">
        <v>25116</v>
      </c>
      <c r="N93" s="4">
        <v>24855</v>
      </c>
      <c r="O93" s="17">
        <v>24510</v>
      </c>
      <c r="P93" s="7">
        <v>23375</v>
      </c>
      <c r="Q93" s="7">
        <v>10458</v>
      </c>
      <c r="S93" s="3" t="s">
        <v>6</v>
      </c>
      <c r="T93" s="3">
        <v>25822</v>
      </c>
      <c r="U93" s="3">
        <v>25706</v>
      </c>
      <c r="V93" s="3">
        <v>25630</v>
      </c>
      <c r="W93" s="4">
        <v>25645</v>
      </c>
      <c r="X93" s="17">
        <v>25421</v>
      </c>
      <c r="Y93" s="7">
        <v>23375</v>
      </c>
      <c r="Z93" s="7">
        <v>10458</v>
      </c>
      <c r="AB93" s="3" t="s">
        <v>6</v>
      </c>
      <c r="AC93" s="3">
        <v>17959</v>
      </c>
      <c r="AD93" s="3">
        <v>17745</v>
      </c>
      <c r="AE93" s="3">
        <v>17887</v>
      </c>
      <c r="AF93" s="4">
        <v>17493</v>
      </c>
      <c r="AG93" s="17">
        <v>17319</v>
      </c>
      <c r="AH93" s="7">
        <v>23375</v>
      </c>
      <c r="AI93" s="7">
        <v>10458</v>
      </c>
      <c r="AK93" s="3" t="s">
        <v>6</v>
      </c>
      <c r="AL93" s="3">
        <v>11827</v>
      </c>
      <c r="AM93" s="3">
        <v>11723</v>
      </c>
      <c r="AN93" s="3">
        <v>11624</v>
      </c>
      <c r="AO93" s="4">
        <v>11491</v>
      </c>
      <c r="AP93" s="17">
        <v>11494</v>
      </c>
      <c r="AQ93" s="7">
        <v>23375</v>
      </c>
      <c r="AR93" s="7">
        <v>10458</v>
      </c>
    </row>
    <row r="94" spans="1:44" ht="12.75">
      <c r="A94" s="48" t="s">
        <v>20</v>
      </c>
      <c r="B94" s="6">
        <v>155.12</v>
      </c>
      <c r="C94" s="6">
        <v>179.95</v>
      </c>
      <c r="D94" s="6">
        <v>240.31</v>
      </c>
      <c r="E94" s="5">
        <v>280.22</v>
      </c>
      <c r="F94" s="18">
        <v>348.64</v>
      </c>
      <c r="G94" s="6">
        <v>388.17</v>
      </c>
      <c r="H94" s="6">
        <v>423.74</v>
      </c>
      <c r="I94" s="6"/>
      <c r="J94" s="6" t="s">
        <v>20</v>
      </c>
      <c r="K94" s="6">
        <v>163</v>
      </c>
      <c r="L94" s="6">
        <v>197</v>
      </c>
      <c r="M94" s="6">
        <v>249</v>
      </c>
      <c r="N94" s="5">
        <v>321</v>
      </c>
      <c r="O94" s="18">
        <v>387</v>
      </c>
      <c r="P94" s="6">
        <v>388.17</v>
      </c>
      <c r="Q94" s="6">
        <v>423.74</v>
      </c>
      <c r="R94" s="6"/>
      <c r="S94" s="6" t="s">
        <v>20</v>
      </c>
      <c r="T94" s="6">
        <v>214.75</v>
      </c>
      <c r="U94" s="6">
        <v>249.7</v>
      </c>
      <c r="V94" s="6">
        <v>286.48</v>
      </c>
      <c r="W94" s="5">
        <v>343.08</v>
      </c>
      <c r="X94" s="18">
        <v>436.47</v>
      </c>
      <c r="Y94" s="6">
        <v>388.17</v>
      </c>
      <c r="Z94" s="6">
        <v>423.74</v>
      </c>
      <c r="AA94" s="6"/>
      <c r="AB94" s="6" t="s">
        <v>20</v>
      </c>
      <c r="AC94" s="6">
        <v>144</v>
      </c>
      <c r="AD94" s="6">
        <v>162</v>
      </c>
      <c r="AE94" s="6">
        <v>169</v>
      </c>
      <c r="AF94" s="5">
        <v>208</v>
      </c>
      <c r="AG94" s="18">
        <v>254</v>
      </c>
      <c r="AH94" s="6">
        <v>388.17</v>
      </c>
      <c r="AI94" s="6">
        <v>423.74</v>
      </c>
      <c r="AJ94" s="6"/>
      <c r="AK94" s="6" t="s">
        <v>20</v>
      </c>
      <c r="AL94" s="6">
        <v>169.38</v>
      </c>
      <c r="AM94" s="6">
        <v>193.62</v>
      </c>
      <c r="AN94" s="6">
        <v>249.39</v>
      </c>
      <c r="AO94" s="5">
        <v>310.5</v>
      </c>
      <c r="AP94" s="18">
        <v>369.26</v>
      </c>
      <c r="AQ94" s="6">
        <v>388.17</v>
      </c>
      <c r="AR94" s="6">
        <v>423.74</v>
      </c>
    </row>
    <row r="95" spans="1:44" ht="12.75">
      <c r="A95" s="48" t="s">
        <v>56</v>
      </c>
      <c r="B95" s="6">
        <v>0.89</v>
      </c>
      <c r="C95" s="6">
        <v>1.3</v>
      </c>
      <c r="D95" s="5">
        <v>1.62</v>
      </c>
      <c r="E95" s="5">
        <v>1.53</v>
      </c>
      <c r="F95" s="18">
        <v>2.05</v>
      </c>
      <c r="G95" s="6">
        <v>2.26</v>
      </c>
      <c r="H95" s="6">
        <v>2.84</v>
      </c>
      <c r="I95" s="6"/>
      <c r="J95" s="6" t="s">
        <v>56</v>
      </c>
      <c r="K95" s="6">
        <v>0.66</v>
      </c>
      <c r="L95" s="49">
        <v>0.85</v>
      </c>
      <c r="M95" s="5">
        <v>1.79</v>
      </c>
      <c r="N95" s="5">
        <v>1.43</v>
      </c>
      <c r="O95" s="18">
        <v>0.82</v>
      </c>
      <c r="P95" s="6">
        <v>2.26</v>
      </c>
      <c r="Q95" s="6">
        <v>2.84</v>
      </c>
      <c r="R95" s="6"/>
      <c r="S95" s="6" t="s">
        <v>56</v>
      </c>
      <c r="T95" s="6">
        <v>1.22</v>
      </c>
      <c r="U95" s="6">
        <v>2.15</v>
      </c>
      <c r="V95" s="5">
        <v>2.78</v>
      </c>
      <c r="W95" s="5">
        <v>2.81</v>
      </c>
      <c r="X95" s="18">
        <v>2.66</v>
      </c>
      <c r="Y95" s="6">
        <v>2.26</v>
      </c>
      <c r="Z95" s="6">
        <v>2.84</v>
      </c>
      <c r="AA95" s="6"/>
      <c r="AB95" s="6" t="s">
        <v>56</v>
      </c>
      <c r="AC95" s="6">
        <v>0.66</v>
      </c>
      <c r="AD95" s="6">
        <v>1.77</v>
      </c>
      <c r="AE95" s="5">
        <v>1.76</v>
      </c>
      <c r="AF95" s="5">
        <v>1.72</v>
      </c>
      <c r="AG95" s="18">
        <v>1.18</v>
      </c>
      <c r="AH95" s="6">
        <v>2.26</v>
      </c>
      <c r="AI95" s="6">
        <v>2.84</v>
      </c>
      <c r="AJ95" s="6"/>
      <c r="AK95" s="6" t="s">
        <v>56</v>
      </c>
      <c r="AL95" s="6">
        <v>1.16</v>
      </c>
      <c r="AM95" s="6">
        <v>1.76</v>
      </c>
      <c r="AN95" s="5">
        <v>3.73</v>
      </c>
      <c r="AO95" s="5">
        <v>3.45</v>
      </c>
      <c r="AP95" s="18">
        <v>1.16</v>
      </c>
      <c r="AQ95" s="6">
        <v>2.26</v>
      </c>
      <c r="AR95" s="6">
        <v>2.84</v>
      </c>
    </row>
    <row r="96" spans="1:44" ht="12.75">
      <c r="A96" s="2"/>
      <c r="B96" s="3"/>
      <c r="C96" s="3"/>
      <c r="D96" s="3"/>
      <c r="E96" s="4"/>
      <c r="F96" s="17"/>
      <c r="G96" s="3"/>
      <c r="H96" s="3"/>
      <c r="J96" s="3"/>
      <c r="K96" s="3"/>
      <c r="L96" s="3"/>
      <c r="M96" s="3"/>
      <c r="N96" s="4"/>
      <c r="O96" s="17"/>
      <c r="P96" s="3"/>
      <c r="Q96" s="3"/>
      <c r="S96" s="3"/>
      <c r="T96" s="3"/>
      <c r="U96" s="3"/>
      <c r="V96" s="3"/>
      <c r="W96" s="4"/>
      <c r="X96" s="17"/>
      <c r="Y96" s="3"/>
      <c r="Z96" s="3"/>
      <c r="AB96" s="3"/>
      <c r="AC96" s="3"/>
      <c r="AD96" s="3"/>
      <c r="AE96" s="3"/>
      <c r="AF96" s="4"/>
      <c r="AG96" s="17"/>
      <c r="AH96" s="3"/>
      <c r="AI96" s="3"/>
      <c r="AK96" s="3"/>
      <c r="AL96" s="3"/>
      <c r="AM96" s="3"/>
      <c r="AN96" s="3"/>
      <c r="AO96" s="4"/>
      <c r="AP96" s="17"/>
      <c r="AQ96" s="3"/>
      <c r="AR96" s="3"/>
    </row>
    <row r="97" spans="1:44" ht="12.75">
      <c r="A97" s="2" t="s">
        <v>119</v>
      </c>
      <c r="B97" s="3">
        <f>472+938</f>
        <v>1410</v>
      </c>
      <c r="C97" s="3">
        <f>472+1108</f>
        <v>1580</v>
      </c>
      <c r="D97" s="3">
        <f>472+1433</f>
        <v>1905</v>
      </c>
      <c r="E97" s="4">
        <f>472+1727</f>
        <v>2199</v>
      </c>
      <c r="F97" s="17">
        <v>2834</v>
      </c>
      <c r="G97" s="7">
        <f>(11294+66090)/20</f>
        <v>3869.2</v>
      </c>
      <c r="H97" s="7">
        <f>(25180+157847)/83</f>
        <v>2205.144578313253</v>
      </c>
      <c r="J97" s="3" t="s">
        <v>119</v>
      </c>
      <c r="K97" s="3">
        <f>2265+497</f>
        <v>2762</v>
      </c>
      <c r="L97" s="3">
        <f>599+606</f>
        <v>1205</v>
      </c>
      <c r="M97" s="3">
        <v>1801</v>
      </c>
      <c r="N97" s="4">
        <v>2069</v>
      </c>
      <c r="O97" s="17">
        <v>2463</v>
      </c>
      <c r="P97" s="7">
        <f>(11294+66090)/20</f>
        <v>3869.2</v>
      </c>
      <c r="Q97" s="7">
        <f>(25180+157847)/83</f>
        <v>2205.144578313253</v>
      </c>
      <c r="S97" s="3" t="s">
        <v>119</v>
      </c>
      <c r="T97" s="3">
        <f>338+1769</f>
        <v>2107</v>
      </c>
      <c r="U97" s="3">
        <f>460+2107</f>
        <v>2567</v>
      </c>
      <c r="V97" s="3">
        <f>460+2627</f>
        <v>3087</v>
      </c>
      <c r="W97" s="4">
        <f>460+3154</f>
        <v>3614</v>
      </c>
      <c r="X97" s="17">
        <v>4558</v>
      </c>
      <c r="Y97" s="7">
        <f>(11294+66090)/20</f>
        <v>3869.2</v>
      </c>
      <c r="Z97" s="7">
        <f>(25180+157847)/83</f>
        <v>2205.144578313253</v>
      </c>
      <c r="AB97" s="3" t="s">
        <v>119</v>
      </c>
      <c r="AC97" s="3">
        <f>1811+153</f>
        <v>1964</v>
      </c>
      <c r="AD97" s="3">
        <f>1811+151</f>
        <v>1962</v>
      </c>
      <c r="AE97" s="3">
        <f>1811+149</f>
        <v>1960</v>
      </c>
      <c r="AF97" s="4">
        <f>1811+146</f>
        <v>1957</v>
      </c>
      <c r="AG97" s="17">
        <v>1829</v>
      </c>
      <c r="AH97" s="7">
        <f>(11294+66090)/20</f>
        <v>3869.2</v>
      </c>
      <c r="AI97" s="7">
        <f>(25180+157847)/83</f>
        <v>2205.144578313253</v>
      </c>
      <c r="AK97" s="3" t="s">
        <v>119</v>
      </c>
      <c r="AL97" s="3">
        <f>334+330</f>
        <v>664</v>
      </c>
      <c r="AM97">
        <f>334+478</f>
        <v>812</v>
      </c>
      <c r="AN97" s="3">
        <f>434+902</f>
        <v>1336</v>
      </c>
      <c r="AO97" s="4">
        <f>434+1156</f>
        <v>1590</v>
      </c>
      <c r="AP97" s="17">
        <v>1669</v>
      </c>
      <c r="AQ97" s="7">
        <f>(11294+66090)/20</f>
        <v>3869.2</v>
      </c>
      <c r="AR97" s="7">
        <f>(25180+157847)/83</f>
        <v>2205.144578313253</v>
      </c>
    </row>
    <row r="98" spans="1:44" ht="12.75">
      <c r="A98" s="2" t="s">
        <v>7</v>
      </c>
      <c r="B98" s="3">
        <v>28548</v>
      </c>
      <c r="C98" s="3">
        <v>30661</v>
      </c>
      <c r="D98" s="4">
        <v>42585</v>
      </c>
      <c r="E98" s="4">
        <v>46295</v>
      </c>
      <c r="F98" s="17">
        <v>53624</v>
      </c>
      <c r="G98" s="7">
        <f>1080072/20</f>
        <v>54003.6</v>
      </c>
      <c r="H98" s="7">
        <f>2162472/83</f>
        <v>26053.87951807229</v>
      </c>
      <c r="J98" s="3" t="s">
        <v>7</v>
      </c>
      <c r="K98" s="3">
        <v>26849</v>
      </c>
      <c r="L98" s="3">
        <v>31343</v>
      </c>
      <c r="M98" s="4">
        <v>39244</v>
      </c>
      <c r="N98" s="4">
        <v>49470</v>
      </c>
      <c r="O98" s="17">
        <v>54544</v>
      </c>
      <c r="P98" s="7">
        <f>1080072/20</f>
        <v>54003.6</v>
      </c>
      <c r="Q98" s="7">
        <f>2162472/83</f>
        <v>26053.87951807229</v>
      </c>
      <c r="S98" s="3" t="s">
        <v>7</v>
      </c>
      <c r="T98" s="3">
        <v>39794</v>
      </c>
      <c r="U98" s="3">
        <v>44749</v>
      </c>
      <c r="V98" s="4">
        <v>50559</v>
      </c>
      <c r="W98" s="4">
        <v>61831</v>
      </c>
      <c r="X98" s="17">
        <v>74094</v>
      </c>
      <c r="Y98" s="7">
        <f>1080072/20</f>
        <v>54003.6</v>
      </c>
      <c r="Z98" s="7">
        <f>2162472/83</f>
        <v>26053.87951807229</v>
      </c>
      <c r="AB98" s="3" t="s">
        <v>7</v>
      </c>
      <c r="AC98" s="3">
        <v>19611</v>
      </c>
      <c r="AD98" s="3">
        <v>21031</v>
      </c>
      <c r="AE98" s="4">
        <v>22758</v>
      </c>
      <c r="AF98" s="4">
        <v>25348</v>
      </c>
      <c r="AG98" s="17">
        <v>29250</v>
      </c>
      <c r="AH98" s="7">
        <f>1080072/20</f>
        <v>54003.6</v>
      </c>
      <c r="AI98" s="7">
        <f>2162472/83</f>
        <v>26053.87951807229</v>
      </c>
      <c r="AK98" s="3" t="s">
        <v>7</v>
      </c>
      <c r="AL98" s="3">
        <v>14681</v>
      </c>
      <c r="AM98">
        <v>17020</v>
      </c>
      <c r="AN98" s="4">
        <v>21015</v>
      </c>
      <c r="AO98" s="4">
        <v>25618</v>
      </c>
      <c r="AP98" s="17">
        <v>27709</v>
      </c>
      <c r="AQ98" s="7">
        <f>1080072/20</f>
        <v>54003.6</v>
      </c>
      <c r="AR98" s="7">
        <f>2162472/83</f>
        <v>26053.87951807229</v>
      </c>
    </row>
    <row r="99" spans="1:44" ht="12.75">
      <c r="A99" s="2" t="s">
        <v>8</v>
      </c>
      <c r="B99" s="3">
        <v>11911</v>
      </c>
      <c r="C99" s="3">
        <v>13823</v>
      </c>
      <c r="D99" s="4">
        <v>17917</v>
      </c>
      <c r="E99" s="4">
        <v>20371</v>
      </c>
      <c r="F99" s="17">
        <v>17269</v>
      </c>
      <c r="G99" s="7">
        <f>408795/20</f>
        <v>20439.75</v>
      </c>
      <c r="H99" s="7">
        <f>866961/83</f>
        <v>10445.313253012047</v>
      </c>
      <c r="J99" s="3" t="s">
        <v>8</v>
      </c>
      <c r="K99" s="3">
        <v>12302</v>
      </c>
      <c r="L99" s="3">
        <v>14138</v>
      </c>
      <c r="M99" s="4">
        <v>17611</v>
      </c>
      <c r="N99" s="4">
        <v>19064</v>
      </c>
      <c r="O99" s="17">
        <v>19636</v>
      </c>
      <c r="P99" s="7">
        <f>408795/20</f>
        <v>20439.75</v>
      </c>
      <c r="Q99" s="7">
        <f>866961/83</f>
        <v>10445.313253012047</v>
      </c>
      <c r="S99" s="3" t="s">
        <v>8</v>
      </c>
      <c r="T99" s="3">
        <v>15410</v>
      </c>
      <c r="U99" s="3">
        <v>19371</v>
      </c>
      <c r="V99" s="4">
        <v>22946</v>
      </c>
      <c r="W99" s="4">
        <v>22793</v>
      </c>
      <c r="X99" s="17">
        <v>25918</v>
      </c>
      <c r="Y99" s="7">
        <f>408795/20</f>
        <v>20439.75</v>
      </c>
      <c r="Z99" s="7">
        <f>866961/83</f>
        <v>10445.313253012047</v>
      </c>
      <c r="AB99" s="3" t="s">
        <v>8</v>
      </c>
      <c r="AC99" s="3">
        <v>11656</v>
      </c>
      <c r="AD99" s="3">
        <v>12639</v>
      </c>
      <c r="AE99" s="4">
        <v>14233</v>
      </c>
      <c r="AF99" s="4">
        <v>14403</v>
      </c>
      <c r="AG99" s="17">
        <v>14130</v>
      </c>
      <c r="AH99" s="7">
        <f>408795/20</f>
        <v>20439.75</v>
      </c>
      <c r="AI99" s="7">
        <f>866961/83</f>
        <v>10445.313253012047</v>
      </c>
      <c r="AK99" s="3" t="s">
        <v>8</v>
      </c>
      <c r="AL99" s="3">
        <v>7361</v>
      </c>
      <c r="AM99">
        <v>8862</v>
      </c>
      <c r="AN99" s="4">
        <v>10837</v>
      </c>
      <c r="AO99" s="4">
        <v>12069</v>
      </c>
      <c r="AP99" s="17">
        <v>11180</v>
      </c>
      <c r="AQ99" s="7">
        <f>408795/20</f>
        <v>20439.75</v>
      </c>
      <c r="AR99" s="7">
        <f>866961/83</f>
        <v>10445.313253012047</v>
      </c>
    </row>
    <row r="100" spans="1:44" ht="12.75">
      <c r="A100" s="2" t="s">
        <v>9</v>
      </c>
      <c r="B100" s="3">
        <v>14885</v>
      </c>
      <c r="C100" s="3">
        <v>16305</v>
      </c>
      <c r="D100" s="4">
        <v>20647</v>
      </c>
      <c r="E100" s="4">
        <v>26729</v>
      </c>
      <c r="F100" s="17">
        <v>36466</v>
      </c>
      <c r="G100" s="7">
        <f>734609/20</f>
        <v>36730.45</v>
      </c>
      <c r="H100" s="7">
        <f>1515667/83</f>
        <v>18261.048192771083</v>
      </c>
      <c r="J100" s="3" t="s">
        <v>9</v>
      </c>
      <c r="K100" s="3">
        <v>12805</v>
      </c>
      <c r="L100" s="3">
        <v>15923</v>
      </c>
      <c r="M100" s="4">
        <v>20626</v>
      </c>
      <c r="N100" s="4">
        <v>27656</v>
      </c>
      <c r="O100" s="17">
        <v>37378</v>
      </c>
      <c r="P100" s="7">
        <f>734609/20</f>
        <v>36730.45</v>
      </c>
      <c r="Q100" s="7">
        <f>1515667/83</f>
        <v>18261.048192771083</v>
      </c>
      <c r="S100" s="3" t="s">
        <v>9</v>
      </c>
      <c r="T100" s="3">
        <v>21383</v>
      </c>
      <c r="U100" s="3">
        <v>25515</v>
      </c>
      <c r="V100" s="4">
        <v>28922</v>
      </c>
      <c r="W100" s="4">
        <v>40105</v>
      </c>
      <c r="X100" s="17">
        <v>53380</v>
      </c>
      <c r="Y100" s="7">
        <f>734609/20</f>
        <v>36730.45</v>
      </c>
      <c r="Z100" s="7">
        <f>1515667/83</f>
        <v>18261.048192771083</v>
      </c>
      <c r="AB100" s="3" t="s">
        <v>9</v>
      </c>
      <c r="AC100" s="3">
        <v>6823</v>
      </c>
      <c r="AD100" s="3">
        <v>7352</v>
      </c>
      <c r="AE100" s="4">
        <v>7963</v>
      </c>
      <c r="AF100" s="4">
        <v>11390</v>
      </c>
      <c r="AG100" s="17">
        <v>15522</v>
      </c>
      <c r="AH100" s="7">
        <f>734609/20</f>
        <v>36730.45</v>
      </c>
      <c r="AI100" s="7">
        <f>1515667/83</f>
        <v>18261.048192771083</v>
      </c>
      <c r="AK100" s="3" t="s">
        <v>9</v>
      </c>
      <c r="AL100" s="3">
        <v>6197</v>
      </c>
      <c r="AM100">
        <v>7891</v>
      </c>
      <c r="AN100" s="4">
        <v>11045</v>
      </c>
      <c r="AO100" s="4">
        <v>14336</v>
      </c>
      <c r="AP100" s="17">
        <v>16664</v>
      </c>
      <c r="AQ100" s="7">
        <f>734609/20</f>
        <v>36730.45</v>
      </c>
      <c r="AR100" s="7">
        <f>1515667/83</f>
        <v>18261.048192771083</v>
      </c>
    </row>
    <row r="101" spans="1:44" ht="12.75">
      <c r="A101" s="2"/>
      <c r="B101" s="3"/>
      <c r="C101" s="3"/>
      <c r="D101" s="3"/>
      <c r="E101" s="4"/>
      <c r="F101" s="17"/>
      <c r="G101" s="7"/>
      <c r="H101" s="7"/>
      <c r="J101" s="3"/>
      <c r="K101" s="3"/>
      <c r="L101" s="3"/>
      <c r="M101" s="3"/>
      <c r="N101" s="4"/>
      <c r="O101" s="17"/>
      <c r="P101" s="7"/>
      <c r="Q101" s="7"/>
      <c r="S101" s="3"/>
      <c r="T101" s="3"/>
      <c r="U101" s="3"/>
      <c r="V101" s="3"/>
      <c r="W101" s="4"/>
      <c r="X101" s="17"/>
      <c r="Y101" s="7"/>
      <c r="Z101" s="7"/>
      <c r="AB101" s="3"/>
      <c r="AC101" s="3"/>
      <c r="AD101" s="3"/>
      <c r="AE101" s="3"/>
      <c r="AF101" s="4"/>
      <c r="AG101" s="17"/>
      <c r="AH101" s="7"/>
      <c r="AI101" s="7"/>
      <c r="AK101" s="3"/>
      <c r="AL101" s="3"/>
      <c r="AM101" s="3"/>
      <c r="AN101" s="3"/>
      <c r="AO101" s="4"/>
      <c r="AP101" s="17"/>
      <c r="AQ101" s="7"/>
      <c r="AR101" s="7"/>
    </row>
    <row r="102" spans="1:44" ht="12.75">
      <c r="A102" s="2" t="s">
        <v>10</v>
      </c>
      <c r="B102" s="4">
        <v>2882</v>
      </c>
      <c r="C102" s="4">
        <v>2875</v>
      </c>
      <c r="D102" s="4">
        <v>3085</v>
      </c>
      <c r="E102" s="4">
        <v>3758</v>
      </c>
      <c r="F102" s="17">
        <v>4050</v>
      </c>
      <c r="G102" s="7">
        <f>88499/20</f>
        <v>4424.95</v>
      </c>
      <c r="H102" s="7">
        <f>184377/83</f>
        <v>2221.409638554217</v>
      </c>
      <c r="J102" s="3" t="s">
        <v>10</v>
      </c>
      <c r="K102" s="4">
        <v>2542</v>
      </c>
      <c r="L102" s="4">
        <v>2793</v>
      </c>
      <c r="M102" s="4">
        <v>3096</v>
      </c>
      <c r="N102" s="4">
        <v>3549</v>
      </c>
      <c r="O102" s="17">
        <v>4355</v>
      </c>
      <c r="P102" s="7">
        <f>88499/20</f>
        <v>4424.95</v>
      </c>
      <c r="Q102" s="7">
        <f>184377/83</f>
        <v>2221.409638554217</v>
      </c>
      <c r="S102" s="3" t="s">
        <v>10</v>
      </c>
      <c r="T102" s="4">
        <v>4016</v>
      </c>
      <c r="U102" s="4">
        <v>4306</v>
      </c>
      <c r="V102" s="4">
        <v>4516</v>
      </c>
      <c r="W102" s="4">
        <v>4970</v>
      </c>
      <c r="X102" s="17">
        <v>5864</v>
      </c>
      <c r="Y102" s="7">
        <f>88499/20</f>
        <v>4424.95</v>
      </c>
      <c r="Z102" s="7">
        <f>184377/83</f>
        <v>2221.409638554217</v>
      </c>
      <c r="AB102" s="3" t="s">
        <v>10</v>
      </c>
      <c r="AC102" s="4">
        <v>2035</v>
      </c>
      <c r="AD102" s="4">
        <v>2119</v>
      </c>
      <c r="AE102" s="4">
        <v>2073</v>
      </c>
      <c r="AF102" s="4">
        <v>2133</v>
      </c>
      <c r="AG102" s="17">
        <v>2360</v>
      </c>
      <c r="AH102" s="7">
        <f>88499/20</f>
        <v>4424.95</v>
      </c>
      <c r="AI102" s="7">
        <f>184377/83</f>
        <v>2221.409638554217</v>
      </c>
      <c r="AK102" s="3" t="s">
        <v>10</v>
      </c>
      <c r="AL102" s="4">
        <v>1539</v>
      </c>
      <c r="AM102" s="4">
        <v>1671</v>
      </c>
      <c r="AN102" s="4">
        <v>1940</v>
      </c>
      <c r="AO102" s="4">
        <v>2097</v>
      </c>
      <c r="AP102" s="17">
        <v>2312</v>
      </c>
      <c r="AQ102" s="7">
        <f>88499/20</f>
        <v>4424.95</v>
      </c>
      <c r="AR102" s="7">
        <f>184377/83</f>
        <v>2221.409638554217</v>
      </c>
    </row>
    <row r="103" spans="1:44" ht="12.75">
      <c r="A103" s="2" t="s">
        <v>11</v>
      </c>
      <c r="B103" s="4">
        <v>276</v>
      </c>
      <c r="C103" s="4">
        <v>495</v>
      </c>
      <c r="D103" s="4">
        <v>776</v>
      </c>
      <c r="E103" s="4">
        <v>590</v>
      </c>
      <c r="F103" s="17">
        <v>592</v>
      </c>
      <c r="G103" s="7">
        <f>13538/20</f>
        <v>676.9</v>
      </c>
      <c r="H103" s="7">
        <f>37693/83</f>
        <v>454.13253012048193</v>
      </c>
      <c r="J103" s="3" t="s">
        <v>11</v>
      </c>
      <c r="K103" s="4">
        <v>583</v>
      </c>
      <c r="L103" s="4">
        <v>609</v>
      </c>
      <c r="M103" s="4">
        <v>625</v>
      </c>
      <c r="N103" s="4">
        <v>516</v>
      </c>
      <c r="O103" s="17">
        <v>464</v>
      </c>
      <c r="P103" s="7">
        <f>13538/20</f>
        <v>676.9</v>
      </c>
      <c r="Q103" s="7">
        <f>37693/83</f>
        <v>454.13253012048193</v>
      </c>
      <c r="S103" s="3" t="s">
        <v>11</v>
      </c>
      <c r="T103" s="4">
        <v>499</v>
      </c>
      <c r="U103" s="4">
        <v>825</v>
      </c>
      <c r="V103" s="4">
        <v>831</v>
      </c>
      <c r="W103" s="4">
        <v>766</v>
      </c>
      <c r="X103" s="17">
        <v>625</v>
      </c>
      <c r="Y103" s="7">
        <f>13538/20</f>
        <v>676.9</v>
      </c>
      <c r="Z103" s="7">
        <f>37693/83</f>
        <v>454.13253012048193</v>
      </c>
      <c r="AB103" s="3" t="s">
        <v>11</v>
      </c>
      <c r="AC103" s="4">
        <v>394</v>
      </c>
      <c r="AD103" s="4">
        <v>428</v>
      </c>
      <c r="AE103" s="4">
        <v>505</v>
      </c>
      <c r="AF103" s="4">
        <v>478</v>
      </c>
      <c r="AG103" s="17">
        <v>457</v>
      </c>
      <c r="AH103" s="7">
        <f>13538/20</f>
        <v>676.9</v>
      </c>
      <c r="AI103" s="7">
        <f>37693/83</f>
        <v>454.13253012048193</v>
      </c>
      <c r="AK103" s="3" t="s">
        <v>11</v>
      </c>
      <c r="AL103" s="4">
        <v>189</v>
      </c>
      <c r="AM103" s="4">
        <v>346</v>
      </c>
      <c r="AN103" s="4">
        <v>526</v>
      </c>
      <c r="AO103" s="4">
        <v>351</v>
      </c>
      <c r="AP103" s="17">
        <v>369</v>
      </c>
      <c r="AQ103" s="7">
        <f>13538/20</f>
        <v>676.9</v>
      </c>
      <c r="AR103" s="7">
        <f>37693/83</f>
        <v>454.13253012048193</v>
      </c>
    </row>
    <row r="104" spans="1:44" ht="12.75">
      <c r="A104" s="2" t="s">
        <v>12</v>
      </c>
      <c r="B104" s="4">
        <v>1775</v>
      </c>
      <c r="C104" s="4">
        <v>1665</v>
      </c>
      <c r="D104" s="4">
        <v>1656</v>
      </c>
      <c r="E104" s="4">
        <v>2064</v>
      </c>
      <c r="F104" s="17">
        <v>2170</v>
      </c>
      <c r="G104" s="7">
        <f>52463/20</f>
        <v>2623.15</v>
      </c>
      <c r="H104" s="7">
        <f>106836/83</f>
        <v>1287.1807228915663</v>
      </c>
      <c r="J104" s="3" t="s">
        <v>12</v>
      </c>
      <c r="K104" s="4">
        <v>1812</v>
      </c>
      <c r="L104" s="4">
        <v>1911</v>
      </c>
      <c r="M104" s="4">
        <v>1902</v>
      </c>
      <c r="N104" s="4">
        <v>2140</v>
      </c>
      <c r="O104" s="17">
        <v>2789</v>
      </c>
      <c r="P104" s="7">
        <f>52463/20</f>
        <v>2623.15</v>
      </c>
      <c r="Q104" s="7">
        <f>106836/83</f>
        <v>1287.1807228915663</v>
      </c>
      <c r="S104" s="3" t="s">
        <v>12</v>
      </c>
      <c r="T104" s="4">
        <v>2679</v>
      </c>
      <c r="U104" s="4">
        <v>2809</v>
      </c>
      <c r="V104" s="4">
        <v>2780</v>
      </c>
      <c r="W104" s="4">
        <v>2905</v>
      </c>
      <c r="X104" s="17">
        <v>3489</v>
      </c>
      <c r="Y104" s="7">
        <f>52463/20</f>
        <v>2623.15</v>
      </c>
      <c r="Z104" s="7">
        <f>106836/83</f>
        <v>1287.1807228915663</v>
      </c>
      <c r="AB104" s="3" t="s">
        <v>12</v>
      </c>
      <c r="AC104" s="4">
        <v>1433</v>
      </c>
      <c r="AD104" s="4">
        <v>1400</v>
      </c>
      <c r="AE104" s="4">
        <v>1292</v>
      </c>
      <c r="AF104" s="4">
        <v>1218</v>
      </c>
      <c r="AG104" s="17">
        <v>1340</v>
      </c>
      <c r="AH104" s="7">
        <f>52463/20</f>
        <v>2623.15</v>
      </c>
      <c r="AI104" s="7">
        <f>106836/83</f>
        <v>1287.1807228915663</v>
      </c>
      <c r="AK104" s="3" t="s">
        <v>12</v>
      </c>
      <c r="AL104" s="4">
        <v>1053</v>
      </c>
      <c r="AM104" s="4">
        <v>1027</v>
      </c>
      <c r="AN104" s="4">
        <v>1102</v>
      </c>
      <c r="AO104" s="4">
        <v>1110</v>
      </c>
      <c r="AP104" s="17">
        <v>1339</v>
      </c>
      <c r="AQ104" s="7">
        <f>52463/20</f>
        <v>2623.15</v>
      </c>
      <c r="AR104" s="7">
        <f>106836/83</f>
        <v>1287.1807228915663</v>
      </c>
    </row>
    <row r="105" spans="1:44" ht="12.75">
      <c r="A105" s="2" t="s">
        <v>13</v>
      </c>
      <c r="B105" s="4">
        <v>1028</v>
      </c>
      <c r="C105" s="4">
        <v>1086</v>
      </c>
      <c r="D105" s="4">
        <v>1186</v>
      </c>
      <c r="E105" s="4">
        <v>1264</v>
      </c>
      <c r="F105" s="17">
        <v>1435</v>
      </c>
      <c r="G105" s="7">
        <f>25761/20</f>
        <v>1288.05</v>
      </c>
      <c r="H105" s="7">
        <f>58664/83</f>
        <v>706.7951807228916</v>
      </c>
      <c r="J105" s="3" t="s">
        <v>13</v>
      </c>
      <c r="K105" s="4">
        <v>837</v>
      </c>
      <c r="L105" s="4">
        <v>867</v>
      </c>
      <c r="M105" s="4">
        <v>1021</v>
      </c>
      <c r="N105" s="4">
        <v>1085</v>
      </c>
      <c r="O105" s="17">
        <v>1177</v>
      </c>
      <c r="P105" s="7">
        <f>25761/20</f>
        <v>1288.05</v>
      </c>
      <c r="Q105" s="7">
        <f>58664/83</f>
        <v>706.7951807228916</v>
      </c>
      <c r="S105" s="3" t="s">
        <v>13</v>
      </c>
      <c r="T105" s="4">
        <v>967</v>
      </c>
      <c r="U105" s="4">
        <v>1018</v>
      </c>
      <c r="V105" s="4">
        <v>1085</v>
      </c>
      <c r="W105" s="4">
        <v>1257</v>
      </c>
      <c r="X105" s="17">
        <v>1402</v>
      </c>
      <c r="Y105" s="7">
        <f>25761/20</f>
        <v>1288.05</v>
      </c>
      <c r="Z105" s="7">
        <f>58664/83</f>
        <v>706.7951807228916</v>
      </c>
      <c r="AB105" s="3" t="s">
        <v>13</v>
      </c>
      <c r="AC105" s="4">
        <v>758</v>
      </c>
      <c r="AD105" s="4">
        <v>592</v>
      </c>
      <c r="AE105" s="4">
        <v>673</v>
      </c>
      <c r="AF105" s="4">
        <v>704</v>
      </c>
      <c r="AG105" s="17">
        <v>834</v>
      </c>
      <c r="AH105" s="7">
        <f>25761/20</f>
        <v>1288.05</v>
      </c>
      <c r="AI105" s="7">
        <f>58664/83</f>
        <v>706.7951807228916</v>
      </c>
      <c r="AK105" s="3" t="s">
        <v>13</v>
      </c>
      <c r="AL105" s="4">
        <v>422</v>
      </c>
      <c r="AM105" s="4">
        <v>557</v>
      </c>
      <c r="AN105" s="4">
        <v>498</v>
      </c>
      <c r="AO105" s="4">
        <v>538</v>
      </c>
      <c r="AP105" s="17">
        <v>624</v>
      </c>
      <c r="AQ105" s="7">
        <f>25761/20</f>
        <v>1288.05</v>
      </c>
      <c r="AR105" s="7">
        <f>58664/83</f>
        <v>706.7951807228916</v>
      </c>
    </row>
    <row r="106" spans="1:44" ht="12.75">
      <c r="A106" s="2"/>
      <c r="B106" s="3"/>
      <c r="C106" s="3"/>
      <c r="D106" s="3"/>
      <c r="E106" s="4"/>
      <c r="F106" s="17"/>
      <c r="G106" s="3"/>
      <c r="H106" s="3"/>
      <c r="J106" s="3"/>
      <c r="K106" s="3"/>
      <c r="L106" s="3"/>
      <c r="M106" s="3"/>
      <c r="N106" s="4"/>
      <c r="O106" s="17"/>
      <c r="P106" s="3"/>
      <c r="Q106" s="3"/>
      <c r="S106" s="3"/>
      <c r="T106" s="3"/>
      <c r="U106" s="3"/>
      <c r="V106" s="3"/>
      <c r="W106" s="4"/>
      <c r="X106" s="17"/>
      <c r="Y106" s="3"/>
      <c r="Z106" s="3"/>
      <c r="AB106" s="3"/>
      <c r="AC106" s="3"/>
      <c r="AD106" s="3"/>
      <c r="AE106" s="3"/>
      <c r="AF106" s="4"/>
      <c r="AG106" s="17"/>
      <c r="AH106" s="3"/>
      <c r="AI106" s="3"/>
      <c r="AK106" s="3"/>
      <c r="AL106" s="3"/>
      <c r="AM106" s="3"/>
      <c r="AN106" s="3"/>
      <c r="AO106" s="4"/>
      <c r="AP106" s="17"/>
      <c r="AQ106" s="3"/>
      <c r="AR106" s="3"/>
    </row>
    <row r="107" spans="1:44" ht="12.75">
      <c r="A107" s="48" t="s">
        <v>14</v>
      </c>
      <c r="B107" s="5">
        <v>6.35</v>
      </c>
      <c r="C107" s="5">
        <v>5.5</v>
      </c>
      <c r="D107" s="5">
        <v>4.41</v>
      </c>
      <c r="E107" s="5">
        <v>4.49</v>
      </c>
      <c r="F107" s="18">
        <v>4.1</v>
      </c>
      <c r="G107" s="5">
        <v>4.26</v>
      </c>
      <c r="H107" s="5">
        <v>4.35</v>
      </c>
      <c r="I107" s="6"/>
      <c r="J107" s="6" t="s">
        <v>14</v>
      </c>
      <c r="K107" s="5">
        <v>7.13</v>
      </c>
      <c r="L107" s="5">
        <v>6.29</v>
      </c>
      <c r="M107" s="5">
        <v>5.17</v>
      </c>
      <c r="N107" s="5">
        <v>4.61</v>
      </c>
      <c r="O107" s="18">
        <v>5.01</v>
      </c>
      <c r="P107" s="5">
        <v>4.26</v>
      </c>
      <c r="Q107" s="5">
        <v>4.35</v>
      </c>
      <c r="R107" s="6"/>
      <c r="S107" s="6" t="s">
        <v>14</v>
      </c>
      <c r="T107" s="5">
        <v>6.91</v>
      </c>
      <c r="U107" s="5">
        <v>6.35</v>
      </c>
      <c r="V107" s="5">
        <v>5.45</v>
      </c>
      <c r="W107" s="5">
        <v>4.74</v>
      </c>
      <c r="X107" s="18">
        <v>4.61</v>
      </c>
      <c r="Y107" s="5">
        <v>4.26</v>
      </c>
      <c r="Z107" s="5">
        <v>4.35</v>
      </c>
      <c r="AA107" s="6"/>
      <c r="AB107" s="6" t="s">
        <v>14</v>
      </c>
      <c r="AC107" s="5">
        <v>7.31</v>
      </c>
      <c r="AD107" s="5">
        <v>6.75</v>
      </c>
      <c r="AE107" s="5">
        <v>5.81</v>
      </c>
      <c r="AF107" s="5">
        <v>4.97</v>
      </c>
      <c r="AG107" s="18">
        <v>4.72</v>
      </c>
      <c r="AH107" s="5">
        <v>4.26</v>
      </c>
      <c r="AI107" s="5">
        <v>4.35</v>
      </c>
      <c r="AJ107" s="6"/>
      <c r="AK107" s="6" t="s">
        <v>14</v>
      </c>
      <c r="AL107" s="5">
        <v>7.29</v>
      </c>
      <c r="AM107" s="5">
        <v>6.18</v>
      </c>
      <c r="AN107" s="5">
        <v>5.45</v>
      </c>
      <c r="AO107" s="5">
        <v>4.51</v>
      </c>
      <c r="AP107" s="18">
        <v>4.63</v>
      </c>
      <c r="AQ107" s="5">
        <v>4.26</v>
      </c>
      <c r="AR107" s="5">
        <v>4.35</v>
      </c>
    </row>
    <row r="108" spans="1:44" ht="12.75">
      <c r="A108" s="48" t="s">
        <v>18</v>
      </c>
      <c r="B108" s="5">
        <v>5.08</v>
      </c>
      <c r="C108" s="5">
        <v>4.33</v>
      </c>
      <c r="D108" s="5">
        <v>4.2</v>
      </c>
      <c r="E108" s="5">
        <v>4.13</v>
      </c>
      <c r="F108" s="18">
        <v>4.55</v>
      </c>
      <c r="G108" s="5">
        <v>3.86</v>
      </c>
      <c r="H108" s="5">
        <v>3.79</v>
      </c>
      <c r="I108" s="6"/>
      <c r="J108" s="6" t="s">
        <v>18</v>
      </c>
      <c r="K108" s="5">
        <v>3.09</v>
      </c>
      <c r="L108" s="5">
        <v>3.42</v>
      </c>
      <c r="M108" s="5">
        <v>3.68</v>
      </c>
      <c r="N108" s="5">
        <v>3.35</v>
      </c>
      <c r="O108" s="18">
        <v>3.08</v>
      </c>
      <c r="P108" s="5">
        <v>3.86</v>
      </c>
      <c r="Q108" s="5">
        <v>3.79</v>
      </c>
      <c r="R108" s="6"/>
      <c r="S108" s="6" t="s">
        <v>18</v>
      </c>
      <c r="T108" s="5">
        <v>4.25</v>
      </c>
      <c r="U108" s="5">
        <v>3.66</v>
      </c>
      <c r="V108" s="5">
        <v>3.34</v>
      </c>
      <c r="W108" s="5">
        <v>3.58</v>
      </c>
      <c r="X108" s="18">
        <v>3.43</v>
      </c>
      <c r="Y108" s="5">
        <v>3.86</v>
      </c>
      <c r="Z108" s="5">
        <v>3.79</v>
      </c>
      <c r="AA108" s="6"/>
      <c r="AB108" s="6" t="s">
        <v>18</v>
      </c>
      <c r="AC108" s="5">
        <v>3</v>
      </c>
      <c r="AD108" s="5">
        <v>3.5</v>
      </c>
      <c r="AE108" s="5">
        <v>2.95</v>
      </c>
      <c r="AF108" s="5">
        <v>3.7</v>
      </c>
      <c r="AG108" s="18">
        <v>3.85</v>
      </c>
      <c r="AH108" s="5">
        <v>3.86</v>
      </c>
      <c r="AI108" s="5">
        <v>3.79</v>
      </c>
      <c r="AJ108" s="6"/>
      <c r="AK108" s="6" t="s">
        <v>18</v>
      </c>
      <c r="AL108" s="5">
        <v>4.7</v>
      </c>
      <c r="AM108" s="5">
        <v>4.55</v>
      </c>
      <c r="AN108" s="5">
        <v>4.83</v>
      </c>
      <c r="AO108" s="5">
        <v>4.53</v>
      </c>
      <c r="AP108" s="18">
        <v>4.03</v>
      </c>
      <c r="AQ108" s="5">
        <v>3.86</v>
      </c>
      <c r="AR108" s="5">
        <v>3.79</v>
      </c>
    </row>
    <row r="109" spans="1:44" ht="12.75">
      <c r="A109" s="48" t="s">
        <v>54</v>
      </c>
      <c r="B109" s="5">
        <v>29.1</v>
      </c>
      <c r="C109" s="5">
        <v>30.88</v>
      </c>
      <c r="D109" s="5">
        <v>31.05</v>
      </c>
      <c r="E109" s="5">
        <v>28.89</v>
      </c>
      <c r="F109" s="18">
        <v>28.78</v>
      </c>
      <c r="G109" s="5">
        <v>21.37</v>
      </c>
      <c r="H109" s="5">
        <v>20.17</v>
      </c>
      <c r="I109" s="6"/>
      <c r="J109" s="6" t="s">
        <v>54</v>
      </c>
      <c r="K109" s="5">
        <v>25.93</v>
      </c>
      <c r="L109" s="5">
        <v>24.83</v>
      </c>
      <c r="M109" s="5">
        <v>24.07</v>
      </c>
      <c r="N109" s="5">
        <v>26.64</v>
      </c>
      <c r="O109" s="18">
        <v>22.19</v>
      </c>
      <c r="P109" s="5">
        <v>21.37</v>
      </c>
      <c r="Q109" s="5">
        <v>20.17</v>
      </c>
      <c r="R109" s="6"/>
      <c r="S109" s="6" t="s">
        <v>54</v>
      </c>
      <c r="T109" s="5">
        <v>18.84</v>
      </c>
      <c r="U109" s="5">
        <v>18.01</v>
      </c>
      <c r="V109" s="5">
        <v>18.66</v>
      </c>
      <c r="W109" s="5">
        <v>19.37</v>
      </c>
      <c r="X109" s="18">
        <v>17.72</v>
      </c>
      <c r="Y109" s="5">
        <v>21.37</v>
      </c>
      <c r="Z109" s="5">
        <v>20.17</v>
      </c>
      <c r="AA109" s="6"/>
      <c r="AB109" s="6" t="s">
        <v>54</v>
      </c>
      <c r="AC109" s="5">
        <v>29.76</v>
      </c>
      <c r="AD109" s="5">
        <v>24.17</v>
      </c>
      <c r="AE109" s="5">
        <v>26.21</v>
      </c>
      <c r="AF109" s="5">
        <v>25.9</v>
      </c>
      <c r="AG109" s="18">
        <v>28.91</v>
      </c>
      <c r="AH109" s="5">
        <v>21.37</v>
      </c>
      <c r="AI109" s="5">
        <v>20.17</v>
      </c>
      <c r="AJ109" s="6"/>
      <c r="AK109" s="6" t="s">
        <v>54</v>
      </c>
      <c r="AL109" s="5">
        <v>20.74</v>
      </c>
      <c r="AM109" s="5">
        <v>27.08</v>
      </c>
      <c r="AN109" s="5">
        <v>20.72</v>
      </c>
      <c r="AO109" s="5">
        <v>19.22</v>
      </c>
      <c r="AP109" s="18">
        <v>19.3</v>
      </c>
      <c r="AQ109" s="5">
        <v>21.37</v>
      </c>
      <c r="AR109" s="5">
        <v>20.17</v>
      </c>
    </row>
    <row r="110" spans="1:44" ht="12.75">
      <c r="A110" s="48"/>
      <c r="B110" s="6"/>
      <c r="C110" s="6"/>
      <c r="D110" s="6"/>
      <c r="E110" s="5"/>
      <c r="F110" s="18"/>
      <c r="G110" s="6"/>
      <c r="H110" s="6"/>
      <c r="I110" s="6"/>
      <c r="J110" s="6"/>
      <c r="K110" s="6"/>
      <c r="L110" s="6"/>
      <c r="M110" s="6"/>
      <c r="N110" s="5"/>
      <c r="O110" s="18"/>
      <c r="P110" s="6"/>
      <c r="Q110" s="6"/>
      <c r="R110" s="6"/>
      <c r="S110" s="6"/>
      <c r="T110" s="6"/>
      <c r="U110" s="6"/>
      <c r="V110" s="6"/>
      <c r="W110" s="5"/>
      <c r="X110" s="18"/>
      <c r="Y110" s="6"/>
      <c r="Z110" s="6"/>
      <c r="AA110" s="6"/>
      <c r="AB110" s="6"/>
      <c r="AC110" s="6"/>
      <c r="AD110" s="6"/>
      <c r="AE110" s="6"/>
      <c r="AF110" s="5"/>
      <c r="AG110" s="18"/>
      <c r="AH110" s="6"/>
      <c r="AI110" s="6"/>
      <c r="AJ110" s="6"/>
      <c r="AK110" s="6"/>
      <c r="AL110" s="6"/>
      <c r="AM110" s="6"/>
      <c r="AN110" s="6"/>
      <c r="AO110" s="5"/>
      <c r="AP110" s="18"/>
      <c r="AQ110" s="6"/>
      <c r="AR110" s="6"/>
    </row>
    <row r="111" spans="1:44" ht="12.75">
      <c r="A111" s="48" t="s">
        <v>15</v>
      </c>
      <c r="B111" s="5">
        <v>0.98</v>
      </c>
      <c r="C111" s="5">
        <v>1.31</v>
      </c>
      <c r="D111" s="5">
        <v>1.67</v>
      </c>
      <c r="E111" s="5">
        <v>0.82</v>
      </c>
      <c r="F111" s="18">
        <v>0.91</v>
      </c>
      <c r="G111" s="5">
        <v>0.88</v>
      </c>
      <c r="H111" s="5">
        <v>1</v>
      </c>
      <c r="I111" s="6"/>
      <c r="J111" s="6" t="s">
        <v>15</v>
      </c>
      <c r="K111" s="5">
        <v>0.6</v>
      </c>
      <c r="L111" s="5">
        <v>0.66</v>
      </c>
      <c r="M111" s="5">
        <v>1.13</v>
      </c>
      <c r="N111" s="5">
        <v>0.73</v>
      </c>
      <c r="O111" s="18">
        <v>0.34</v>
      </c>
      <c r="P111" s="5">
        <v>0.88</v>
      </c>
      <c r="Q111" s="5">
        <v>1</v>
      </c>
      <c r="R111" s="6"/>
      <c r="S111" s="6" t="s">
        <v>15</v>
      </c>
      <c r="T111" s="5">
        <v>0.71</v>
      </c>
      <c r="U111" s="5">
        <v>1.08</v>
      </c>
      <c r="V111" s="5">
        <v>1.3</v>
      </c>
      <c r="W111" s="5">
        <v>1.1</v>
      </c>
      <c r="X111" s="18">
        <v>0.84</v>
      </c>
      <c r="Y111" s="5">
        <v>0.88</v>
      </c>
      <c r="Z111" s="5">
        <v>1</v>
      </c>
      <c r="AA111" s="6"/>
      <c r="AB111" s="6" t="s">
        <v>15</v>
      </c>
      <c r="AC111" s="5">
        <v>0.54</v>
      </c>
      <c r="AD111" s="5">
        <v>1.37</v>
      </c>
      <c r="AE111" s="5">
        <v>1.25</v>
      </c>
      <c r="AF111" s="5">
        <v>1.04</v>
      </c>
      <c r="AG111" s="18">
        <v>0.62</v>
      </c>
      <c r="AH111" s="5">
        <v>0.88</v>
      </c>
      <c r="AI111" s="5">
        <v>1</v>
      </c>
      <c r="AJ111" s="6"/>
      <c r="AK111" s="6" t="s">
        <v>15</v>
      </c>
      <c r="AL111" s="5">
        <v>0.86</v>
      </c>
      <c r="AM111" s="5">
        <v>1.13</v>
      </c>
      <c r="AN111" s="5">
        <v>1.91</v>
      </c>
      <c r="AO111" s="5">
        <v>1.43</v>
      </c>
      <c r="AP111" s="18">
        <v>0.45</v>
      </c>
      <c r="AQ111" s="5">
        <v>0.88</v>
      </c>
      <c r="AR111" s="5">
        <v>1</v>
      </c>
    </row>
    <row r="112" spans="1:44" ht="12.75">
      <c r="A112" s="48" t="s">
        <v>16</v>
      </c>
      <c r="B112" s="5">
        <v>12.12</v>
      </c>
      <c r="C112" s="5">
        <v>11.03</v>
      </c>
      <c r="D112" s="5">
        <v>11.49</v>
      </c>
      <c r="E112" s="5">
        <v>10.7</v>
      </c>
      <c r="F112" s="18">
        <v>11.73</v>
      </c>
      <c r="G112" s="5">
        <v>12.38</v>
      </c>
      <c r="H112" s="6">
        <v>12.24</v>
      </c>
      <c r="I112" s="6"/>
      <c r="J112" s="6" t="s">
        <v>16</v>
      </c>
      <c r="K112" s="5">
        <v>9.64</v>
      </c>
      <c r="L112" s="5">
        <v>10.04</v>
      </c>
      <c r="M112" s="5">
        <v>11.88</v>
      </c>
      <c r="N112" s="5">
        <v>11.26</v>
      </c>
      <c r="O112" s="18">
        <v>11.12</v>
      </c>
      <c r="P112" s="5">
        <v>12.38</v>
      </c>
      <c r="Q112" s="6">
        <v>12.24</v>
      </c>
      <c r="R112" s="6"/>
      <c r="S112" s="6" t="s">
        <v>16</v>
      </c>
      <c r="T112" s="5">
        <v>11.07</v>
      </c>
      <c r="U112" s="5">
        <v>12.41</v>
      </c>
      <c r="V112" s="5">
        <v>12.32</v>
      </c>
      <c r="W112" s="5">
        <v>12.09</v>
      </c>
      <c r="X112" s="18">
        <v>11.41</v>
      </c>
      <c r="Y112" s="5">
        <v>12.38</v>
      </c>
      <c r="Z112" s="6">
        <v>12.24</v>
      </c>
      <c r="AA112" s="6"/>
      <c r="AB112" s="6" t="s">
        <v>16</v>
      </c>
      <c r="AC112" s="5">
        <v>12.02</v>
      </c>
      <c r="AD112" s="5">
        <v>15.17</v>
      </c>
      <c r="AE112" s="5">
        <v>17.04</v>
      </c>
      <c r="AF112" s="5">
        <v>18.16</v>
      </c>
      <c r="AG112" s="18">
        <v>13.12</v>
      </c>
      <c r="AH112" s="5">
        <v>12.38</v>
      </c>
      <c r="AI112" s="6">
        <v>12.24</v>
      </c>
      <c r="AJ112" s="6"/>
      <c r="AK112" s="6" t="s">
        <v>16</v>
      </c>
      <c r="AL112" s="5">
        <v>12.25</v>
      </c>
      <c r="AM112" s="5">
        <v>12.66</v>
      </c>
      <c r="AN112" s="5">
        <v>14.11</v>
      </c>
      <c r="AO112" s="5">
        <v>12.92</v>
      </c>
      <c r="AP112" s="18">
        <v>11.94</v>
      </c>
      <c r="AQ112" s="5">
        <v>12.38</v>
      </c>
      <c r="AR112" s="6">
        <v>12.24</v>
      </c>
    </row>
    <row r="113" spans="1:44" ht="12.75">
      <c r="A113" s="48" t="s">
        <v>17</v>
      </c>
      <c r="B113" s="6">
        <v>4.63</v>
      </c>
      <c r="C113" s="6">
        <v>4.29</v>
      </c>
      <c r="D113" s="6">
        <v>2.58</v>
      </c>
      <c r="E113" s="5">
        <v>1.59</v>
      </c>
      <c r="F113" s="18">
        <v>0.86</v>
      </c>
      <c r="G113" s="5">
        <v>1.28</v>
      </c>
      <c r="H113" s="5">
        <v>1.22</v>
      </c>
      <c r="I113" s="6"/>
      <c r="J113" s="6" t="s">
        <v>17</v>
      </c>
      <c r="K113" s="6">
        <v>5.45</v>
      </c>
      <c r="L113" s="6">
        <v>4.36</v>
      </c>
      <c r="M113" s="6">
        <v>3.65</v>
      </c>
      <c r="N113" s="5">
        <v>2.93</v>
      </c>
      <c r="O113" s="18">
        <v>2.1</v>
      </c>
      <c r="P113" s="5">
        <v>1.28</v>
      </c>
      <c r="Q113" s="5">
        <v>1.22</v>
      </c>
      <c r="R113" s="6"/>
      <c r="S113" s="6" t="s">
        <v>17</v>
      </c>
      <c r="T113" s="6">
        <v>6.26</v>
      </c>
      <c r="U113" s="6">
        <v>4.91</v>
      </c>
      <c r="V113" s="6">
        <v>2.87</v>
      </c>
      <c r="W113" s="5">
        <v>2.64</v>
      </c>
      <c r="X113" s="18">
        <v>1.56</v>
      </c>
      <c r="Y113" s="5">
        <v>1.28</v>
      </c>
      <c r="Z113" s="5">
        <v>1.22</v>
      </c>
      <c r="AA113" s="6"/>
      <c r="AB113" s="6" t="s">
        <v>17</v>
      </c>
      <c r="AC113" s="6">
        <v>7.9</v>
      </c>
      <c r="AD113" s="6">
        <v>5.52</v>
      </c>
      <c r="AE113" s="6">
        <v>3.75</v>
      </c>
      <c r="AF113" s="5">
        <v>2.43</v>
      </c>
      <c r="AG113" s="18">
        <v>1.95</v>
      </c>
      <c r="AH113" s="5">
        <v>1.28</v>
      </c>
      <c r="AI113" s="5">
        <v>1.22</v>
      </c>
      <c r="AJ113" s="6"/>
      <c r="AK113" s="6" t="s">
        <v>17</v>
      </c>
      <c r="AL113" s="6">
        <v>6.02</v>
      </c>
      <c r="AM113" s="6">
        <v>2.61</v>
      </c>
      <c r="AN113" s="6">
        <v>0.91</v>
      </c>
      <c r="AO113" s="5">
        <v>0.59</v>
      </c>
      <c r="AP113" s="18">
        <v>0.85</v>
      </c>
      <c r="AQ113" s="5">
        <v>1.28</v>
      </c>
      <c r="AR113" s="5">
        <v>1.22</v>
      </c>
    </row>
    <row r="114" spans="1:44" ht="12.75">
      <c r="A114" s="3"/>
      <c r="B114" s="3"/>
      <c r="C114" s="3"/>
      <c r="D114" s="3"/>
      <c r="E114" s="3"/>
      <c r="F114" s="3"/>
      <c r="G114" s="3"/>
      <c r="H114" s="3"/>
      <c r="J114" s="3"/>
      <c r="K114" s="3"/>
      <c r="L114" s="3"/>
      <c r="M114" s="3"/>
      <c r="N114" s="3"/>
      <c r="O114" s="3"/>
      <c r="P114" s="3"/>
      <c r="Q114" s="3"/>
      <c r="S114" s="3"/>
      <c r="T114" s="3"/>
      <c r="U114" s="3"/>
      <c r="V114" s="3"/>
      <c r="W114" s="3"/>
      <c r="X114" s="3"/>
      <c r="Y114" s="3"/>
      <c r="Z114" s="3"/>
      <c r="AB114" s="3"/>
      <c r="AC114" s="3"/>
      <c r="AD114" s="3"/>
      <c r="AE114" s="3"/>
      <c r="AF114" s="3"/>
      <c r="AG114" s="3"/>
      <c r="AH114" s="3"/>
      <c r="AI114" s="3"/>
      <c r="AK114" s="3"/>
      <c r="AL114" s="3"/>
      <c r="AM114" s="3"/>
      <c r="AN114" s="3"/>
      <c r="AO114" s="3"/>
      <c r="AP114" s="3"/>
      <c r="AQ114" s="3"/>
      <c r="AR114" s="3"/>
    </row>
  </sheetData>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3:BD169"/>
  <sheetViews>
    <sheetView workbookViewId="0" topLeftCell="A1">
      <selection activeCell="BA8" sqref="BA8"/>
    </sheetView>
  </sheetViews>
  <sheetFormatPr defaultColWidth="9.140625" defaultRowHeight="12.75"/>
  <cols>
    <col min="1" max="1" width="38.140625" style="0" bestFit="1" customWidth="1"/>
    <col min="2" max="6" width="8.57421875" style="0" customWidth="1"/>
    <col min="7" max="7" width="12.7109375" style="0" customWidth="1"/>
    <col min="8" max="8" width="15.8515625" style="0" customWidth="1"/>
    <col min="9" max="9" width="9.140625" style="3" customWidth="1"/>
    <col min="10" max="10" width="38.140625" style="0" bestFit="1" customWidth="1"/>
    <col min="11" max="15" width="8.57421875" style="0" customWidth="1"/>
    <col min="16" max="16" width="12.7109375" style="0" customWidth="1"/>
    <col min="17" max="17" width="15.8515625" style="0" customWidth="1"/>
    <col min="18" max="18" width="9.140625" style="3" customWidth="1"/>
    <col min="19" max="19" width="38.140625" style="0" bestFit="1" customWidth="1"/>
    <col min="20" max="24" width="8.57421875" style="0" customWidth="1"/>
    <col min="25" max="25" width="12.7109375" style="0" customWidth="1"/>
    <col min="26" max="26" width="16.00390625" style="0" customWidth="1"/>
    <col min="27" max="27" width="9.140625" style="3" customWidth="1"/>
    <col min="28" max="28" width="38.140625" style="0" bestFit="1" customWidth="1"/>
    <col min="29" max="33" width="8.57421875" style="0" customWidth="1"/>
    <col min="34" max="34" width="12.7109375" style="0" customWidth="1"/>
    <col min="35" max="35" width="16.57421875" style="0" customWidth="1"/>
    <col min="36" max="36" width="9.140625" style="3" customWidth="1"/>
    <col min="37" max="37" width="38.140625" style="0" bestFit="1" customWidth="1"/>
    <col min="38" max="42" width="8.57421875" style="0" customWidth="1"/>
    <col min="43" max="43" width="12.7109375" style="0" customWidth="1"/>
    <col min="44" max="44" width="16.00390625" style="0" customWidth="1"/>
    <col min="45" max="45" width="9.140625" style="3" customWidth="1"/>
    <col min="46" max="46" width="38.140625" style="0" bestFit="1" customWidth="1"/>
    <col min="47" max="51" width="8.57421875" style="0" customWidth="1"/>
    <col min="52" max="52" width="12.7109375" style="0" customWidth="1"/>
    <col min="53" max="53" width="16.7109375" style="0" customWidth="1"/>
    <col min="54" max="54" width="9.140625" style="3" customWidth="1"/>
  </cols>
  <sheetData>
    <row r="3" spans="1:53" ht="12.75">
      <c r="A3" s="26" t="s">
        <v>29</v>
      </c>
      <c r="B3" s="27"/>
      <c r="C3" s="27"/>
      <c r="D3" s="27"/>
      <c r="E3" s="27"/>
      <c r="F3" s="27"/>
      <c r="G3" s="27"/>
      <c r="H3" s="41" t="s">
        <v>77</v>
      </c>
      <c r="J3" s="26" t="s">
        <v>29</v>
      </c>
      <c r="K3" s="27"/>
      <c r="L3" s="27"/>
      <c r="M3" s="27"/>
      <c r="N3" s="27"/>
      <c r="O3" s="27"/>
      <c r="P3" s="26" t="s">
        <v>30</v>
      </c>
      <c r="Q3" s="27"/>
      <c r="S3" s="26" t="s">
        <v>29</v>
      </c>
      <c r="T3" s="27"/>
      <c r="U3" s="27"/>
      <c r="V3" s="27"/>
      <c r="W3" s="27"/>
      <c r="X3" s="27"/>
      <c r="Y3" s="27"/>
      <c r="Z3" s="41" t="s">
        <v>78</v>
      </c>
      <c r="AB3" s="26" t="s">
        <v>29</v>
      </c>
      <c r="AC3" s="27"/>
      <c r="AD3" s="27"/>
      <c r="AE3" s="27"/>
      <c r="AF3" s="27"/>
      <c r="AG3" s="27"/>
      <c r="AH3" s="26" t="s">
        <v>79</v>
      </c>
      <c r="AI3" s="27"/>
      <c r="AK3" s="26" t="s">
        <v>29</v>
      </c>
      <c r="AL3" s="27"/>
      <c r="AM3" s="27"/>
      <c r="AN3" s="27"/>
      <c r="AO3" s="27"/>
      <c r="AP3" s="27"/>
      <c r="AQ3" s="26" t="s">
        <v>80</v>
      </c>
      <c r="AR3" s="27"/>
      <c r="AT3" s="26" t="s">
        <v>29</v>
      </c>
      <c r="AU3" s="27"/>
      <c r="AV3" s="27"/>
      <c r="AW3" s="27"/>
      <c r="AX3" s="27"/>
      <c r="AY3" s="27"/>
      <c r="AZ3" s="26" t="s">
        <v>31</v>
      </c>
      <c r="BA3" s="27"/>
    </row>
    <row r="4" spans="7:56" s="3" customFormat="1" ht="12.75">
      <c r="G4" s="34"/>
      <c r="H4" s="36" t="s">
        <v>19</v>
      </c>
      <c r="P4" s="34"/>
      <c r="Q4" s="36" t="s">
        <v>19</v>
      </c>
      <c r="Y4" s="34"/>
      <c r="Z4" s="36" t="s">
        <v>19</v>
      </c>
      <c r="AH4" s="34"/>
      <c r="AI4" s="36" t="s">
        <v>19</v>
      </c>
      <c r="AR4" s="36" t="s">
        <v>19</v>
      </c>
      <c r="AZ4" s="34"/>
      <c r="BA4" s="36" t="s">
        <v>19</v>
      </c>
      <c r="BC4" s="4"/>
      <c r="BD4" s="4"/>
    </row>
    <row r="5" spans="1:56" ht="12.75">
      <c r="A5" s="32" t="s">
        <v>4</v>
      </c>
      <c r="B5" s="17" t="s">
        <v>0</v>
      </c>
      <c r="C5" s="17" t="s">
        <v>1</v>
      </c>
      <c r="D5" s="17" t="s">
        <v>2</v>
      </c>
      <c r="E5" s="17" t="s">
        <v>3</v>
      </c>
      <c r="F5" s="17" t="s">
        <v>117</v>
      </c>
      <c r="G5" s="17" t="s">
        <v>53</v>
      </c>
      <c r="H5" s="17" t="s">
        <v>111</v>
      </c>
      <c r="J5" s="17" t="s">
        <v>4</v>
      </c>
      <c r="K5" s="17" t="s">
        <v>0</v>
      </c>
      <c r="L5" s="17" t="s">
        <v>1</v>
      </c>
      <c r="M5" s="17" t="s">
        <v>2</v>
      </c>
      <c r="N5" s="17" t="s">
        <v>3</v>
      </c>
      <c r="O5" s="17" t="s">
        <v>117</v>
      </c>
      <c r="P5" s="17" t="s">
        <v>53</v>
      </c>
      <c r="Q5" s="17" t="s">
        <v>111</v>
      </c>
      <c r="S5" s="17" t="s">
        <v>4</v>
      </c>
      <c r="T5" s="17" t="s">
        <v>0</v>
      </c>
      <c r="U5" s="17" t="s">
        <v>1</v>
      </c>
      <c r="V5" s="17" t="s">
        <v>2</v>
      </c>
      <c r="W5" s="17" t="s">
        <v>3</v>
      </c>
      <c r="X5" s="17" t="s">
        <v>117</v>
      </c>
      <c r="Y5" s="17" t="s">
        <v>53</v>
      </c>
      <c r="Z5" s="17" t="s">
        <v>111</v>
      </c>
      <c r="AB5" s="17" t="s">
        <v>4</v>
      </c>
      <c r="AC5" s="17" t="s">
        <v>0</v>
      </c>
      <c r="AD5" s="17" t="s">
        <v>1</v>
      </c>
      <c r="AE5" s="17" t="s">
        <v>2</v>
      </c>
      <c r="AF5" s="17" t="s">
        <v>3</v>
      </c>
      <c r="AG5" s="17" t="s">
        <v>117</v>
      </c>
      <c r="AH5" s="17" t="s">
        <v>53</v>
      </c>
      <c r="AI5" s="17" t="s">
        <v>111</v>
      </c>
      <c r="AK5" s="17" t="s">
        <v>4</v>
      </c>
      <c r="AL5" s="17" t="s">
        <v>0</v>
      </c>
      <c r="AM5" s="17" t="s">
        <v>1</v>
      </c>
      <c r="AN5" s="17" t="s">
        <v>2</v>
      </c>
      <c r="AO5" s="17" t="s">
        <v>3</v>
      </c>
      <c r="AP5" s="17" t="s">
        <v>117</v>
      </c>
      <c r="AQ5" s="17" t="s">
        <v>53</v>
      </c>
      <c r="AR5" s="17" t="s">
        <v>111</v>
      </c>
      <c r="AT5" s="17" t="s">
        <v>4</v>
      </c>
      <c r="AU5" s="17" t="s">
        <v>0</v>
      </c>
      <c r="AV5" s="17" t="s">
        <v>1</v>
      </c>
      <c r="AW5" s="17" t="s">
        <v>2</v>
      </c>
      <c r="AX5" s="17" t="s">
        <v>3</v>
      </c>
      <c r="AY5" s="17" t="s">
        <v>117</v>
      </c>
      <c r="AZ5" s="17" t="s">
        <v>53</v>
      </c>
      <c r="BA5" s="17" t="s">
        <v>111</v>
      </c>
      <c r="BC5" s="4"/>
      <c r="BD5" s="4"/>
    </row>
    <row r="6" spans="1:56" ht="12.75">
      <c r="A6" s="32"/>
      <c r="B6" s="17"/>
      <c r="C6" s="17"/>
      <c r="D6" s="17"/>
      <c r="E6" s="17"/>
      <c r="F6" s="17"/>
      <c r="G6" s="28" t="s">
        <v>117</v>
      </c>
      <c r="H6" s="28" t="s">
        <v>117</v>
      </c>
      <c r="J6" s="17"/>
      <c r="K6" s="17"/>
      <c r="L6" s="17"/>
      <c r="M6" s="17"/>
      <c r="N6" s="17"/>
      <c r="O6" s="17"/>
      <c r="P6" s="28" t="s">
        <v>117</v>
      </c>
      <c r="Q6" s="28" t="s">
        <v>117</v>
      </c>
      <c r="S6" s="17"/>
      <c r="T6" s="17"/>
      <c r="U6" s="17"/>
      <c r="V6" s="17"/>
      <c r="W6" s="17"/>
      <c r="X6" s="17"/>
      <c r="Y6" s="28" t="s">
        <v>117</v>
      </c>
      <c r="Z6" s="28" t="s">
        <v>117</v>
      </c>
      <c r="AB6" s="17"/>
      <c r="AC6" s="17"/>
      <c r="AD6" s="17"/>
      <c r="AE6" s="17"/>
      <c r="AF6" s="17"/>
      <c r="AG6" s="17"/>
      <c r="AH6" s="28" t="s">
        <v>3</v>
      </c>
      <c r="AI6" s="28" t="s">
        <v>3</v>
      </c>
      <c r="AK6" s="17"/>
      <c r="AL6" s="17"/>
      <c r="AM6" s="17"/>
      <c r="AN6" s="17"/>
      <c r="AO6" s="17"/>
      <c r="AP6" s="17"/>
      <c r="AQ6" s="28" t="s">
        <v>117</v>
      </c>
      <c r="AR6" s="28" t="s">
        <v>117</v>
      </c>
      <c r="AT6" s="17"/>
      <c r="AU6" s="17"/>
      <c r="AV6" s="17"/>
      <c r="AW6" s="17"/>
      <c r="AX6" s="17"/>
      <c r="AY6" s="17"/>
      <c r="AZ6" s="28" t="s">
        <v>117</v>
      </c>
      <c r="BA6" s="28" t="s">
        <v>117</v>
      </c>
      <c r="BC6" s="4"/>
      <c r="BD6" s="4"/>
    </row>
    <row r="7" spans="1:56" s="3" customFormat="1" ht="12.75">
      <c r="A7" s="3" t="s">
        <v>5</v>
      </c>
      <c r="B7" s="3">
        <v>11</v>
      </c>
      <c r="C7" s="3">
        <v>13</v>
      </c>
      <c r="D7" s="3">
        <v>16</v>
      </c>
      <c r="E7" s="4">
        <v>19</v>
      </c>
      <c r="F7" s="17">
        <v>23</v>
      </c>
      <c r="G7" s="7">
        <f>261/29</f>
        <v>9</v>
      </c>
      <c r="H7" s="7">
        <f>(14039+35356+261+6746)/83</f>
        <v>679.5421686746988</v>
      </c>
      <c r="J7" s="3" t="s">
        <v>5</v>
      </c>
      <c r="K7" s="3">
        <v>2</v>
      </c>
      <c r="L7" s="3">
        <v>2</v>
      </c>
      <c r="M7" s="3">
        <v>2</v>
      </c>
      <c r="N7" s="4">
        <v>2</v>
      </c>
      <c r="O7" s="17">
        <v>2</v>
      </c>
      <c r="P7" s="7">
        <f>261/29</f>
        <v>9</v>
      </c>
      <c r="Q7" s="7">
        <f>(14039+35356+261+6746)/83</f>
        <v>679.5421686746988</v>
      </c>
      <c r="S7" s="3" t="s">
        <v>5</v>
      </c>
      <c r="T7" s="3">
        <v>5</v>
      </c>
      <c r="U7" s="3">
        <v>6</v>
      </c>
      <c r="V7" s="3">
        <v>6</v>
      </c>
      <c r="W7" s="4">
        <v>8</v>
      </c>
      <c r="X7" s="17">
        <v>8</v>
      </c>
      <c r="Y7" s="7">
        <f>261/29</f>
        <v>9</v>
      </c>
      <c r="Z7" s="7">
        <f>(14039+35356+261+6746)/83</f>
        <v>679.5421686746988</v>
      </c>
      <c r="AB7" s="3" t="s">
        <v>5</v>
      </c>
      <c r="AD7" s="3">
        <v>1</v>
      </c>
      <c r="AE7" s="3">
        <v>1</v>
      </c>
      <c r="AF7" s="4">
        <v>1</v>
      </c>
      <c r="AG7" s="17">
        <v>1</v>
      </c>
      <c r="AH7" s="7">
        <f>261/29</f>
        <v>9</v>
      </c>
      <c r="AI7" s="7">
        <f>(14039+35356+261+6746)/83</f>
        <v>679.5421686746988</v>
      </c>
      <c r="AK7" s="3" t="s">
        <v>5</v>
      </c>
      <c r="AL7" s="3">
        <v>1</v>
      </c>
      <c r="AM7" s="3">
        <v>1</v>
      </c>
      <c r="AN7" s="3">
        <v>1</v>
      </c>
      <c r="AO7" s="4">
        <v>1</v>
      </c>
      <c r="AP7" s="17">
        <v>1</v>
      </c>
      <c r="AQ7" s="7">
        <f>261/29</f>
        <v>9</v>
      </c>
      <c r="AR7" s="7">
        <f>(14039+35356+261+6746)/83</f>
        <v>679.5421686746988</v>
      </c>
      <c r="AT7" s="3" t="s">
        <v>5</v>
      </c>
      <c r="AU7" s="3">
        <v>1</v>
      </c>
      <c r="AV7" s="3">
        <v>1</v>
      </c>
      <c r="AW7" s="3">
        <v>1</v>
      </c>
      <c r="AX7" s="4">
        <v>1</v>
      </c>
      <c r="AY7" s="17">
        <v>1</v>
      </c>
      <c r="AZ7" s="7">
        <f>261/29</f>
        <v>9</v>
      </c>
      <c r="BA7" s="7">
        <f>(14039+35356+261+6746)/83</f>
        <v>679.5421686746988</v>
      </c>
      <c r="BC7" s="10"/>
      <c r="BD7" s="10"/>
    </row>
    <row r="8" spans="1:56" ht="12.75">
      <c r="A8" s="2" t="s">
        <v>6</v>
      </c>
      <c r="B8" s="3">
        <v>959</v>
      </c>
      <c r="C8" s="3">
        <v>986</v>
      </c>
      <c r="D8" s="3">
        <v>1207</v>
      </c>
      <c r="E8" s="4">
        <v>1908</v>
      </c>
      <c r="F8" s="17">
        <v>3093</v>
      </c>
      <c r="G8" s="7">
        <v>724</v>
      </c>
      <c r="H8" s="7">
        <v>10458</v>
      </c>
      <c r="J8" s="3" t="s">
        <v>6</v>
      </c>
      <c r="K8" s="3">
        <v>82</v>
      </c>
      <c r="L8" s="3">
        <v>78</v>
      </c>
      <c r="M8" s="9">
        <v>76</v>
      </c>
      <c r="N8" s="11">
        <v>40</v>
      </c>
      <c r="O8" s="22">
        <v>38</v>
      </c>
      <c r="P8" s="7">
        <v>724</v>
      </c>
      <c r="Q8" s="7">
        <v>10458</v>
      </c>
      <c r="S8" s="3" t="s">
        <v>6</v>
      </c>
      <c r="T8" s="3">
        <v>341</v>
      </c>
      <c r="U8" s="13" t="s">
        <v>114</v>
      </c>
      <c r="V8" s="3">
        <v>1479</v>
      </c>
      <c r="W8" s="11">
        <v>1586</v>
      </c>
      <c r="X8" s="22">
        <v>1773</v>
      </c>
      <c r="Y8" s="7">
        <v>724</v>
      </c>
      <c r="Z8" s="7">
        <v>10458</v>
      </c>
      <c r="AB8" s="3" t="s">
        <v>6</v>
      </c>
      <c r="AC8" s="3"/>
      <c r="AD8" s="3">
        <v>17</v>
      </c>
      <c r="AE8" s="3">
        <v>17</v>
      </c>
      <c r="AF8" s="11">
        <v>20</v>
      </c>
      <c r="AG8" s="22">
        <v>19</v>
      </c>
      <c r="AH8" s="7">
        <v>724</v>
      </c>
      <c r="AI8" s="7">
        <v>10458</v>
      </c>
      <c r="AK8" s="3" t="s">
        <v>6</v>
      </c>
      <c r="AL8" s="3">
        <v>25</v>
      </c>
      <c r="AM8" s="3">
        <v>24</v>
      </c>
      <c r="AN8" s="3">
        <v>25</v>
      </c>
      <c r="AO8" s="11">
        <v>26</v>
      </c>
      <c r="AP8" s="22">
        <v>26</v>
      </c>
      <c r="AQ8" s="7">
        <v>724</v>
      </c>
      <c r="AR8" s="7">
        <v>10458</v>
      </c>
      <c r="AT8" s="3" t="s">
        <v>6</v>
      </c>
      <c r="AU8" s="3">
        <v>16</v>
      </c>
      <c r="AV8" s="3">
        <v>15</v>
      </c>
      <c r="AW8" s="3">
        <v>13</v>
      </c>
      <c r="AX8" s="11">
        <v>18</v>
      </c>
      <c r="AY8" s="22">
        <v>15</v>
      </c>
      <c r="AZ8" s="7">
        <v>724</v>
      </c>
      <c r="BA8" s="7">
        <v>10458</v>
      </c>
      <c r="BC8" s="10"/>
      <c r="BD8" s="10"/>
    </row>
    <row r="9" spans="1:56" ht="12.75">
      <c r="A9" s="2" t="s">
        <v>20</v>
      </c>
      <c r="B9" s="6">
        <v>840.16</v>
      </c>
      <c r="C9" s="3">
        <v>784.27</v>
      </c>
      <c r="D9" s="3">
        <v>891.45</v>
      </c>
      <c r="E9" s="5">
        <v>823.7</v>
      </c>
      <c r="F9" s="18">
        <v>905.82</v>
      </c>
      <c r="G9" s="3">
        <v>1006.24</v>
      </c>
      <c r="H9" s="3">
        <v>423.74</v>
      </c>
      <c r="J9" s="3" t="s">
        <v>20</v>
      </c>
      <c r="K9" s="6">
        <v>2581</v>
      </c>
      <c r="L9" s="6">
        <v>2618.4</v>
      </c>
      <c r="M9" s="6">
        <v>1161.64</v>
      </c>
      <c r="N9" s="5">
        <v>1061.1</v>
      </c>
      <c r="O9" s="18">
        <v>1720.49</v>
      </c>
      <c r="P9" s="3">
        <v>1006.24</v>
      </c>
      <c r="Q9" s="3">
        <v>423.74</v>
      </c>
      <c r="S9" s="3" t="s">
        <v>20</v>
      </c>
      <c r="T9" s="3">
        <v>237.22</v>
      </c>
      <c r="U9" s="3">
        <v>214.91</v>
      </c>
      <c r="V9" s="6">
        <v>285</v>
      </c>
      <c r="W9" s="5">
        <v>237.53</v>
      </c>
      <c r="X9" s="18">
        <v>239.32</v>
      </c>
      <c r="Y9" s="3">
        <v>1006.24</v>
      </c>
      <c r="Z9" s="3">
        <v>423.74</v>
      </c>
      <c r="AB9" s="3" t="s">
        <v>20</v>
      </c>
      <c r="AC9" s="3"/>
      <c r="AD9" s="3">
        <v>1252.55</v>
      </c>
      <c r="AE9" s="3">
        <v>1723.61</v>
      </c>
      <c r="AF9" s="5">
        <v>2267.01</v>
      </c>
      <c r="AG9" s="18">
        <v>2308.4</v>
      </c>
      <c r="AH9" s="3">
        <v>1006.24</v>
      </c>
      <c r="AI9" s="3">
        <v>423.74</v>
      </c>
      <c r="AK9" s="3" t="s">
        <v>20</v>
      </c>
      <c r="AL9" s="3">
        <v>237.96</v>
      </c>
      <c r="AM9" s="3">
        <v>265.05</v>
      </c>
      <c r="AN9" s="3">
        <v>221.45</v>
      </c>
      <c r="AO9" s="5">
        <v>183.07</v>
      </c>
      <c r="AP9" s="18">
        <v>193.03</v>
      </c>
      <c r="AQ9" s="3">
        <v>1006.24</v>
      </c>
      <c r="AR9" s="3">
        <v>423.74</v>
      </c>
      <c r="AT9" s="3" t="s">
        <v>20</v>
      </c>
      <c r="AU9" s="6">
        <v>263.47</v>
      </c>
      <c r="AV9" s="3">
        <v>228.53</v>
      </c>
      <c r="AW9" s="3">
        <v>326.47</v>
      </c>
      <c r="AX9" s="5">
        <v>154</v>
      </c>
      <c r="AY9" s="18">
        <v>148</v>
      </c>
      <c r="AZ9" s="3">
        <v>1006.24</v>
      </c>
      <c r="BA9" s="3">
        <v>423.74</v>
      </c>
      <c r="BC9" s="4"/>
      <c r="BD9" s="4"/>
    </row>
    <row r="10" spans="1:56" ht="12.75">
      <c r="A10" s="2" t="s">
        <v>56</v>
      </c>
      <c r="B10" s="6">
        <v>13.49</v>
      </c>
      <c r="C10" s="3">
        <v>12.35</v>
      </c>
      <c r="D10" s="4">
        <v>15.22</v>
      </c>
      <c r="E10" s="4">
        <v>10.24</v>
      </c>
      <c r="F10" s="17">
        <v>8.15</v>
      </c>
      <c r="G10" s="3">
        <v>14.61</v>
      </c>
      <c r="H10" s="3">
        <v>2.84</v>
      </c>
      <c r="J10" s="3" t="s">
        <v>56</v>
      </c>
      <c r="K10" s="6">
        <v>11</v>
      </c>
      <c r="L10" s="3">
        <v>4.06</v>
      </c>
      <c r="M10" s="5">
        <v>12.2</v>
      </c>
      <c r="N10" s="4">
        <v>-77.24</v>
      </c>
      <c r="O10" s="17">
        <v>12.06</v>
      </c>
      <c r="P10" s="3">
        <v>14.61</v>
      </c>
      <c r="Q10" s="3">
        <v>2.84</v>
      </c>
      <c r="S10" s="3" t="s">
        <v>56</v>
      </c>
      <c r="T10" s="3">
        <v>0.86</v>
      </c>
      <c r="U10" s="3">
        <v>-2.08</v>
      </c>
      <c r="V10" s="5">
        <v>-1.67</v>
      </c>
      <c r="W10" s="4">
        <v>1.05</v>
      </c>
      <c r="X10" s="17">
        <v>2.99</v>
      </c>
      <c r="Y10" s="3">
        <v>14.61</v>
      </c>
      <c r="Z10" s="3">
        <v>2.84</v>
      </c>
      <c r="AB10" s="3" t="s">
        <v>56</v>
      </c>
      <c r="AC10" s="3"/>
      <c r="AD10" s="3">
        <v>5.25</v>
      </c>
      <c r="AE10" s="4">
        <v>32.85</v>
      </c>
      <c r="AF10" s="5">
        <v>33.4</v>
      </c>
      <c r="AG10" s="17">
        <v>41.22</v>
      </c>
      <c r="AH10" s="3">
        <v>14.61</v>
      </c>
      <c r="AI10" s="3">
        <v>2.84</v>
      </c>
      <c r="AK10" s="3" t="s">
        <v>56</v>
      </c>
      <c r="AL10" s="3">
        <v>10.91</v>
      </c>
      <c r="AM10" s="6">
        <v>10.5</v>
      </c>
      <c r="AN10" s="5">
        <v>12.9</v>
      </c>
      <c r="AO10" s="4">
        <v>10.29</v>
      </c>
      <c r="AP10" s="17">
        <v>11.04</v>
      </c>
      <c r="AQ10" s="3">
        <v>14.61</v>
      </c>
      <c r="AR10" s="3">
        <v>2.84</v>
      </c>
      <c r="AT10" s="3" t="s">
        <v>56</v>
      </c>
      <c r="AU10" s="6">
        <v>1.32</v>
      </c>
      <c r="AV10" s="3">
        <v>11.98</v>
      </c>
      <c r="AW10" s="4">
        <v>-1.56</v>
      </c>
      <c r="AX10" s="4">
        <v>-4.15</v>
      </c>
      <c r="AY10" s="17">
        <v>-7.66</v>
      </c>
      <c r="AZ10" s="3">
        <v>14.61</v>
      </c>
      <c r="BA10" s="3">
        <v>2.84</v>
      </c>
      <c r="BC10" s="4"/>
      <c r="BD10" s="4"/>
    </row>
    <row r="11" spans="1:56" ht="12.75">
      <c r="A11" s="2"/>
      <c r="B11" s="3"/>
      <c r="C11" s="3"/>
      <c r="D11" s="3"/>
      <c r="E11" s="4"/>
      <c r="F11" s="17"/>
      <c r="G11" s="3"/>
      <c r="H11" s="3"/>
      <c r="J11" s="3"/>
      <c r="K11" s="3"/>
      <c r="L11" s="3"/>
      <c r="M11" s="3"/>
      <c r="N11" s="4"/>
      <c r="O11" s="17"/>
      <c r="P11" s="3"/>
      <c r="Q11" s="3"/>
      <c r="S11" s="3"/>
      <c r="T11" s="3"/>
      <c r="U11" s="3"/>
      <c r="V11" s="3"/>
      <c r="W11" s="4"/>
      <c r="X11" s="17"/>
      <c r="Y11" s="3"/>
      <c r="Z11" s="3"/>
      <c r="AB11" s="3"/>
      <c r="AC11" s="3"/>
      <c r="AD11" s="3"/>
      <c r="AE11" s="3"/>
      <c r="AF11" s="4"/>
      <c r="AG11" s="17"/>
      <c r="AH11" s="3"/>
      <c r="AI11" s="3"/>
      <c r="AK11" s="3"/>
      <c r="AL11" s="3"/>
      <c r="AM11" s="3"/>
      <c r="AN11" s="3"/>
      <c r="AO11" s="4"/>
      <c r="AP11" s="17"/>
      <c r="AQ11" s="3"/>
      <c r="AR11" s="3"/>
      <c r="AT11" s="3"/>
      <c r="AU11" s="3"/>
      <c r="AV11" s="3"/>
      <c r="AW11" s="3"/>
      <c r="AX11" s="4"/>
      <c r="AY11" s="17"/>
      <c r="AZ11" s="3"/>
      <c r="BA11" s="3"/>
      <c r="BC11" s="4"/>
      <c r="BD11" s="4"/>
    </row>
    <row r="12" spans="1:56" ht="12.75">
      <c r="A12" s="2" t="s">
        <v>119</v>
      </c>
      <c r="B12" s="3">
        <v>767</v>
      </c>
      <c r="C12" s="3">
        <v>936</v>
      </c>
      <c r="D12" s="3">
        <v>1152</v>
      </c>
      <c r="E12" s="4">
        <v>1347</v>
      </c>
      <c r="F12" s="17">
        <v>1589</v>
      </c>
      <c r="G12" s="7">
        <f>(8940+15347)/29</f>
        <v>837.4827586206897</v>
      </c>
      <c r="H12" s="7">
        <f>(25180+157847)/83</f>
        <v>2205.144578313253</v>
      </c>
      <c r="J12" s="3" t="s">
        <v>119</v>
      </c>
      <c r="K12" s="7">
        <v>59</v>
      </c>
      <c r="L12" s="7">
        <v>62</v>
      </c>
      <c r="M12" s="7">
        <v>72</v>
      </c>
      <c r="N12" s="10">
        <v>71</v>
      </c>
      <c r="O12" s="21">
        <v>76</v>
      </c>
      <c r="P12" s="7">
        <f>(8940+15347)/29</f>
        <v>837.4827586206897</v>
      </c>
      <c r="Q12" s="7">
        <f>(25180+157847)/83</f>
        <v>2205.144578313253</v>
      </c>
      <c r="S12" s="3" t="s">
        <v>119</v>
      </c>
      <c r="T12" s="3">
        <v>254</v>
      </c>
      <c r="U12" s="3">
        <v>253</v>
      </c>
      <c r="V12" s="3">
        <v>244</v>
      </c>
      <c r="W12" s="10">
        <v>301</v>
      </c>
      <c r="X12" s="21">
        <v>399</v>
      </c>
      <c r="Y12" s="7">
        <f>(8940+15347)/29</f>
        <v>837.4827586206897</v>
      </c>
      <c r="Z12" s="7">
        <f>(25180+157847)/83</f>
        <v>2205.144578313253</v>
      </c>
      <c r="AB12" s="3" t="s">
        <v>119</v>
      </c>
      <c r="AC12" s="3"/>
      <c r="AD12" s="3">
        <v>116</v>
      </c>
      <c r="AE12" s="3">
        <v>122</v>
      </c>
      <c r="AF12" s="10">
        <v>128</v>
      </c>
      <c r="AG12" s="21">
        <v>136</v>
      </c>
      <c r="AH12" s="7">
        <f>(8940+15347)/29</f>
        <v>837.4827586206897</v>
      </c>
      <c r="AI12" s="7">
        <f>(25180+157847)/83</f>
        <v>2205.144578313253</v>
      </c>
      <c r="AK12" s="3" t="s">
        <v>119</v>
      </c>
      <c r="AL12" s="3">
        <v>42</v>
      </c>
      <c r="AM12" s="3">
        <v>43</v>
      </c>
      <c r="AN12" s="3">
        <v>44</v>
      </c>
      <c r="AO12" s="10">
        <v>45</v>
      </c>
      <c r="AP12" s="21">
        <v>46</v>
      </c>
      <c r="AQ12" s="7">
        <f>(8940+15347)/29</f>
        <v>837.4827586206897</v>
      </c>
      <c r="AR12" s="7">
        <f>(25180+157847)/83</f>
        <v>2205.144578313253</v>
      </c>
      <c r="AT12" s="3" t="s">
        <v>119</v>
      </c>
      <c r="AU12" s="7">
        <v>74</v>
      </c>
      <c r="AV12" s="7">
        <v>74</v>
      </c>
      <c r="AW12" s="7">
        <v>74</v>
      </c>
      <c r="AX12" s="10">
        <v>74</v>
      </c>
      <c r="AY12" s="21">
        <v>75</v>
      </c>
      <c r="AZ12" s="7">
        <f>(8940+15347)/29</f>
        <v>837.4827586206897</v>
      </c>
      <c r="BA12" s="7">
        <f>(25180+157847)/83</f>
        <v>2205.144578313253</v>
      </c>
      <c r="BC12" s="10"/>
      <c r="BD12" s="10"/>
    </row>
    <row r="13" spans="1:56" ht="12.75">
      <c r="A13" s="2" t="s">
        <v>7</v>
      </c>
      <c r="B13" s="3">
        <v>4865</v>
      </c>
      <c r="C13" s="3">
        <v>5022</v>
      </c>
      <c r="D13" s="4">
        <v>5856</v>
      </c>
      <c r="E13" s="4">
        <v>7026</v>
      </c>
      <c r="F13" s="17">
        <v>11864</v>
      </c>
      <c r="G13" s="7">
        <f>113746/29</f>
        <v>3922.2758620689656</v>
      </c>
      <c r="H13" s="7">
        <f>2162472/83</f>
        <v>26053.87951807229</v>
      </c>
      <c r="J13" s="3" t="s">
        <v>7</v>
      </c>
      <c r="K13" s="3">
        <v>1663</v>
      </c>
      <c r="L13" s="3">
        <v>1769</v>
      </c>
      <c r="M13" s="4">
        <v>1816</v>
      </c>
      <c r="N13" s="4">
        <v>1663</v>
      </c>
      <c r="O13" s="17">
        <v>458</v>
      </c>
      <c r="P13" s="7">
        <f>113746/29</f>
        <v>3922.2758620689656</v>
      </c>
      <c r="Q13" s="7">
        <f>2162472/83</f>
        <v>26053.87951807229</v>
      </c>
      <c r="S13" s="3" t="s">
        <v>7</v>
      </c>
      <c r="T13" s="3">
        <v>2230</v>
      </c>
      <c r="U13" s="3">
        <v>2388</v>
      </c>
      <c r="V13" s="4">
        <v>2789</v>
      </c>
      <c r="W13" s="4">
        <v>2264</v>
      </c>
      <c r="X13" s="17">
        <v>2260</v>
      </c>
      <c r="Y13" s="7">
        <f>113746/29</f>
        <v>3922.2758620689656</v>
      </c>
      <c r="Z13" s="7">
        <f>2162472/83</f>
        <v>26053.87951807229</v>
      </c>
      <c r="AB13" s="3" t="s">
        <v>7</v>
      </c>
      <c r="AC13" s="3"/>
      <c r="AD13" s="3">
        <v>37</v>
      </c>
      <c r="AE13" s="4">
        <v>44</v>
      </c>
      <c r="AF13" s="4">
        <v>50</v>
      </c>
      <c r="AG13" s="17">
        <v>53</v>
      </c>
      <c r="AH13" s="7">
        <f>113746/29</f>
        <v>3922.2758620689656</v>
      </c>
      <c r="AI13" s="7">
        <f>2162472/83</f>
        <v>26053.87951807229</v>
      </c>
      <c r="AK13" s="3" t="s">
        <v>7</v>
      </c>
      <c r="AL13" s="3">
        <v>41</v>
      </c>
      <c r="AM13" s="3">
        <v>46</v>
      </c>
      <c r="AN13" s="4">
        <v>31</v>
      </c>
      <c r="AO13" s="4">
        <v>23</v>
      </c>
      <c r="AP13" s="17">
        <v>21</v>
      </c>
      <c r="AQ13" s="7">
        <f>113746/29</f>
        <v>3922.2758620689656</v>
      </c>
      <c r="AR13" s="7">
        <f>2162472/83</f>
        <v>26053.87951807229</v>
      </c>
      <c r="AT13" s="3" t="s">
        <v>7</v>
      </c>
      <c r="AU13" s="3">
        <v>5</v>
      </c>
      <c r="AV13" s="3">
        <v>9</v>
      </c>
      <c r="AW13" s="4">
        <v>13</v>
      </c>
      <c r="AX13" s="4">
        <v>11</v>
      </c>
      <c r="AY13" s="17">
        <v>15</v>
      </c>
      <c r="AZ13" s="7">
        <f>113746/29</f>
        <v>3922.2758620689656</v>
      </c>
      <c r="BA13" s="7">
        <f>2162472/83</f>
        <v>26053.87951807229</v>
      </c>
      <c r="BC13" s="10"/>
      <c r="BD13" s="10"/>
    </row>
    <row r="14" spans="1:56" ht="12.75">
      <c r="A14" s="2" t="s">
        <v>8</v>
      </c>
      <c r="B14" s="3">
        <v>2129</v>
      </c>
      <c r="C14" s="3">
        <v>2985</v>
      </c>
      <c r="D14" s="4">
        <v>2917</v>
      </c>
      <c r="E14" s="4">
        <v>3331</v>
      </c>
      <c r="F14" s="17">
        <v>4825</v>
      </c>
      <c r="G14" s="7">
        <f>53563/29</f>
        <v>1847</v>
      </c>
      <c r="H14" s="7">
        <f>866961/83</f>
        <v>10445.313253012047</v>
      </c>
      <c r="J14" s="3" t="s">
        <v>8</v>
      </c>
      <c r="K14" s="3">
        <v>1283</v>
      </c>
      <c r="L14" s="3">
        <v>1327</v>
      </c>
      <c r="M14" s="4">
        <v>1354</v>
      </c>
      <c r="N14" s="4">
        <v>1257</v>
      </c>
      <c r="O14" s="17">
        <v>142</v>
      </c>
      <c r="P14" s="7">
        <f>53563/29</f>
        <v>1847</v>
      </c>
      <c r="Q14" s="7">
        <f>866961/83</f>
        <v>10445.313253012047</v>
      </c>
      <c r="S14" s="3" t="s">
        <v>8</v>
      </c>
      <c r="T14" s="3">
        <v>1044</v>
      </c>
      <c r="U14" s="3">
        <v>1087</v>
      </c>
      <c r="V14" s="4">
        <v>812</v>
      </c>
      <c r="W14" s="4">
        <v>1038</v>
      </c>
      <c r="X14" s="17">
        <v>991</v>
      </c>
      <c r="Y14" s="7">
        <f>53563/29</f>
        <v>1847</v>
      </c>
      <c r="Z14" s="7">
        <f>866961/83</f>
        <v>10445.313253012047</v>
      </c>
      <c r="AB14" s="3" t="s">
        <v>8</v>
      </c>
      <c r="AC14" s="3"/>
      <c r="AD14" s="3">
        <v>47</v>
      </c>
      <c r="AE14" s="4">
        <v>96</v>
      </c>
      <c r="AF14" s="4">
        <v>165</v>
      </c>
      <c r="AG14" s="17">
        <v>141</v>
      </c>
      <c r="AH14" s="7">
        <f>53563/29</f>
        <v>1847</v>
      </c>
      <c r="AI14" s="7">
        <f>866961/83</f>
        <v>10445.313253012047</v>
      </c>
      <c r="AK14" s="3" t="s">
        <v>8</v>
      </c>
      <c r="AL14" s="3">
        <v>6</v>
      </c>
      <c r="AM14" s="3">
        <v>9</v>
      </c>
      <c r="AN14" s="4">
        <v>10</v>
      </c>
      <c r="AO14" s="4">
        <v>8</v>
      </c>
      <c r="AP14" s="17">
        <v>8</v>
      </c>
      <c r="AQ14" s="7">
        <f>53563/29</f>
        <v>1847</v>
      </c>
      <c r="AR14" s="7">
        <f>866961/83</f>
        <v>10445.313253012047</v>
      </c>
      <c r="AT14" s="3" t="s">
        <v>8</v>
      </c>
      <c r="AU14" s="3">
        <v>10</v>
      </c>
      <c r="AV14" s="3">
        <v>17</v>
      </c>
      <c r="AW14" s="4">
        <v>12</v>
      </c>
      <c r="AX14" s="4">
        <v>41</v>
      </c>
      <c r="AY14" s="17">
        <v>16</v>
      </c>
      <c r="AZ14" s="7">
        <f>53563/29</f>
        <v>1847</v>
      </c>
      <c r="BA14" s="7">
        <f>866961/83</f>
        <v>10445.313253012047</v>
      </c>
      <c r="BC14" s="10"/>
      <c r="BD14" s="10"/>
    </row>
    <row r="15" spans="1:56" ht="12.75">
      <c r="A15" s="2" t="s">
        <v>9</v>
      </c>
      <c r="B15" s="3">
        <v>4487</v>
      </c>
      <c r="C15" s="3">
        <v>5447</v>
      </c>
      <c r="D15" s="4">
        <v>6697</v>
      </c>
      <c r="E15" s="4">
        <v>9836</v>
      </c>
      <c r="F15" s="17">
        <v>15073</v>
      </c>
      <c r="G15" s="7">
        <f>97555/29</f>
        <v>3363.9655172413795</v>
      </c>
      <c r="H15" s="7">
        <f>1515667/83</f>
        <v>18261.048192771083</v>
      </c>
      <c r="J15" s="3" t="s">
        <v>9</v>
      </c>
      <c r="K15" s="3">
        <v>299</v>
      </c>
      <c r="L15" s="3">
        <v>274</v>
      </c>
      <c r="M15" s="4">
        <v>168</v>
      </c>
      <c r="N15" s="4">
        <v>90</v>
      </c>
      <c r="O15" s="17">
        <v>119</v>
      </c>
      <c r="P15" s="7">
        <f>97555/29</f>
        <v>3363.9655172413795</v>
      </c>
      <c r="Q15" s="7">
        <f>1515667/83</f>
        <v>18261.048192771083</v>
      </c>
      <c r="S15" s="3" t="s">
        <v>9</v>
      </c>
      <c r="T15" s="3">
        <v>1558</v>
      </c>
      <c r="U15" s="3">
        <v>1190</v>
      </c>
      <c r="V15" s="4">
        <v>1263</v>
      </c>
      <c r="W15" s="4">
        <v>1483</v>
      </c>
      <c r="X15" s="17">
        <v>2017</v>
      </c>
      <c r="Y15" s="7">
        <f>97555/29</f>
        <v>3363.9655172413795</v>
      </c>
      <c r="Z15" s="7">
        <f>1515667/83</f>
        <v>18261.048192771083</v>
      </c>
      <c r="AB15" s="3" t="s">
        <v>9</v>
      </c>
      <c r="AC15" s="3"/>
      <c r="AD15" s="3">
        <v>176</v>
      </c>
      <c r="AE15" s="4">
        <v>298</v>
      </c>
      <c r="AF15" s="4">
        <v>434</v>
      </c>
      <c r="AG15" s="17">
        <v>422</v>
      </c>
      <c r="AH15" s="7">
        <f>97555/29</f>
        <v>3363.9655172413795</v>
      </c>
      <c r="AI15" s="7">
        <f>1515667/83</f>
        <v>18261.048192771083</v>
      </c>
      <c r="AK15" s="3" t="s">
        <v>9</v>
      </c>
      <c r="AL15" s="3">
        <v>22</v>
      </c>
      <c r="AM15" s="3">
        <v>17</v>
      </c>
      <c r="AN15" s="4">
        <v>12</v>
      </c>
      <c r="AO15" s="4">
        <v>22</v>
      </c>
      <c r="AP15" s="17">
        <v>34</v>
      </c>
      <c r="AQ15" s="7">
        <f>97555/29</f>
        <v>3363.9655172413795</v>
      </c>
      <c r="AR15" s="7">
        <f>1515667/83</f>
        <v>18261.048192771083</v>
      </c>
      <c r="AT15" s="3" t="s">
        <v>9</v>
      </c>
      <c r="AU15" s="3">
        <v>9</v>
      </c>
      <c r="AV15" s="3">
        <v>18</v>
      </c>
      <c r="AW15" s="4">
        <v>3</v>
      </c>
      <c r="AX15" s="4">
        <v>20</v>
      </c>
      <c r="AY15" s="17">
        <v>7</v>
      </c>
      <c r="AZ15" s="7">
        <f>97555/29</f>
        <v>3363.9655172413795</v>
      </c>
      <c r="BA15" s="7">
        <f>1515667/83</f>
        <v>18261.048192771083</v>
      </c>
      <c r="BC15" s="10"/>
      <c r="BD15" s="10"/>
    </row>
    <row r="16" spans="1:56" ht="12.75">
      <c r="A16" s="2"/>
      <c r="B16" s="3"/>
      <c r="C16" s="3"/>
      <c r="D16" s="3"/>
      <c r="E16" s="4"/>
      <c r="F16" s="17"/>
      <c r="G16" s="7"/>
      <c r="H16" s="7"/>
      <c r="J16" s="3"/>
      <c r="K16" s="3"/>
      <c r="L16" s="3"/>
      <c r="M16" s="3"/>
      <c r="N16" s="4"/>
      <c r="O16" s="17"/>
      <c r="P16" s="7"/>
      <c r="Q16" s="7"/>
      <c r="S16" s="3"/>
      <c r="T16" s="3"/>
      <c r="U16" s="3"/>
      <c r="V16" s="3"/>
      <c r="W16" s="4"/>
      <c r="X16" s="17"/>
      <c r="Y16" s="7"/>
      <c r="Z16" s="7"/>
      <c r="AB16" s="3"/>
      <c r="AC16" s="3"/>
      <c r="AD16" s="3"/>
      <c r="AE16" s="3"/>
      <c r="AF16" s="4"/>
      <c r="AG16" s="17"/>
      <c r="AH16" s="7"/>
      <c r="AI16" s="7"/>
      <c r="AK16" s="3"/>
      <c r="AL16" s="3"/>
      <c r="AM16" s="3"/>
      <c r="AN16" s="3"/>
      <c r="AO16" s="4"/>
      <c r="AP16" s="17"/>
      <c r="AQ16" s="7"/>
      <c r="AR16" s="7"/>
      <c r="AT16" s="3"/>
      <c r="AU16" s="3"/>
      <c r="AV16" s="3"/>
      <c r="AW16" s="3"/>
      <c r="AX16" s="4"/>
      <c r="AY16" s="17"/>
      <c r="AZ16" s="7"/>
      <c r="BA16" s="7"/>
      <c r="BC16" s="10"/>
      <c r="BD16" s="10"/>
    </row>
    <row r="17" spans="1:56" ht="12.75">
      <c r="A17" s="2" t="s">
        <v>10</v>
      </c>
      <c r="B17" s="4">
        <v>756</v>
      </c>
      <c r="C17" s="4">
        <v>743</v>
      </c>
      <c r="D17" s="4">
        <v>761</v>
      </c>
      <c r="E17" s="4">
        <v>907</v>
      </c>
      <c r="F17" s="17">
        <v>1351</v>
      </c>
      <c r="G17" s="7">
        <v>421.8965517241379</v>
      </c>
      <c r="H17" s="7">
        <f>184377/83</f>
        <v>2221.409638554217</v>
      </c>
      <c r="J17" s="3" t="s">
        <v>10</v>
      </c>
      <c r="K17" s="4">
        <v>184</v>
      </c>
      <c r="L17" s="4">
        <v>184</v>
      </c>
      <c r="M17" s="4">
        <v>163</v>
      </c>
      <c r="N17" s="4">
        <v>150</v>
      </c>
      <c r="O17" s="17">
        <v>111</v>
      </c>
      <c r="P17" s="7">
        <v>421.8965517241379</v>
      </c>
      <c r="Q17" s="7">
        <f>184377/83</f>
        <v>2221.409638554217</v>
      </c>
      <c r="S17" s="3" t="s">
        <v>10</v>
      </c>
      <c r="T17" s="4">
        <v>303</v>
      </c>
      <c r="U17" s="4">
        <v>319</v>
      </c>
      <c r="V17" s="4">
        <v>306</v>
      </c>
      <c r="W17" s="4">
        <v>270</v>
      </c>
      <c r="X17" s="17">
        <v>259</v>
      </c>
      <c r="Y17" s="7">
        <v>421.8965517241379</v>
      </c>
      <c r="Z17" s="7">
        <f>184377/83</f>
        <v>2221.409638554217</v>
      </c>
      <c r="AB17" s="3" t="s">
        <v>10</v>
      </c>
      <c r="AC17" s="4"/>
      <c r="AD17" s="4">
        <v>11</v>
      </c>
      <c r="AE17" s="4">
        <v>20</v>
      </c>
      <c r="AF17" s="4">
        <v>26</v>
      </c>
      <c r="AG17" s="17">
        <v>37</v>
      </c>
      <c r="AH17" s="7">
        <v>421.8965517241379</v>
      </c>
      <c r="AI17" s="7">
        <f>184377/83</f>
        <v>2221.409638554217</v>
      </c>
      <c r="AK17" s="3" t="s">
        <v>10</v>
      </c>
      <c r="AL17" s="4">
        <v>6</v>
      </c>
      <c r="AM17" s="4">
        <v>4</v>
      </c>
      <c r="AN17" s="4">
        <v>4</v>
      </c>
      <c r="AO17" s="4">
        <v>3</v>
      </c>
      <c r="AP17" s="17">
        <v>4</v>
      </c>
      <c r="AQ17" s="7">
        <v>421.8965517241379</v>
      </c>
      <c r="AR17" s="7">
        <f>184377/83</f>
        <v>2221.409638554217</v>
      </c>
      <c r="AT17" s="3" t="s">
        <v>10</v>
      </c>
      <c r="AU17" s="4">
        <v>4</v>
      </c>
      <c r="AV17" s="4">
        <v>4</v>
      </c>
      <c r="AW17" s="4">
        <v>4</v>
      </c>
      <c r="AX17" s="4">
        <v>4</v>
      </c>
      <c r="AY17" s="17">
        <v>4</v>
      </c>
      <c r="AZ17" s="7">
        <v>421.8965517241379</v>
      </c>
      <c r="BA17" s="7">
        <f>184377/83</f>
        <v>2221.409638554217</v>
      </c>
      <c r="BC17" s="10"/>
      <c r="BD17" s="10"/>
    </row>
    <row r="18" spans="1:56" ht="12.75">
      <c r="A18" s="2" t="s">
        <v>11</v>
      </c>
      <c r="B18" s="4">
        <v>196</v>
      </c>
      <c r="C18" s="4">
        <v>253</v>
      </c>
      <c r="D18" s="4">
        <v>379</v>
      </c>
      <c r="E18" s="4">
        <v>435</v>
      </c>
      <c r="F18" s="17">
        <v>637</v>
      </c>
      <c r="G18" s="7">
        <f>5200/29</f>
        <v>179.31034482758622</v>
      </c>
      <c r="H18" s="7">
        <f>37693/83</f>
        <v>454.13253012048193</v>
      </c>
      <c r="J18" s="3" t="s">
        <v>11</v>
      </c>
      <c r="K18" s="4">
        <v>9</v>
      </c>
      <c r="L18" s="4">
        <v>12</v>
      </c>
      <c r="M18" s="4">
        <v>8</v>
      </c>
      <c r="N18" s="4">
        <v>40</v>
      </c>
      <c r="O18" s="17">
        <v>10</v>
      </c>
      <c r="P18" s="7">
        <f>5200/29</f>
        <v>179.31034482758622</v>
      </c>
      <c r="Q18" s="7">
        <f>37693/83</f>
        <v>454.13253012048193</v>
      </c>
      <c r="S18" s="3" t="s">
        <v>11</v>
      </c>
      <c r="T18" s="4">
        <v>228</v>
      </c>
      <c r="U18" s="4">
        <v>199</v>
      </c>
      <c r="V18" s="4">
        <v>220</v>
      </c>
      <c r="W18" s="4">
        <v>251</v>
      </c>
      <c r="X18" s="17">
        <v>304</v>
      </c>
      <c r="Y18" s="7">
        <f>5200/29</f>
        <v>179.31034482758622</v>
      </c>
      <c r="Z18" s="7">
        <f>37693/83</f>
        <v>454.13253012048193</v>
      </c>
      <c r="AB18" s="3" t="s">
        <v>11</v>
      </c>
      <c r="AC18" s="4"/>
      <c r="AD18" s="4">
        <v>1</v>
      </c>
      <c r="AE18" s="4">
        <v>3</v>
      </c>
      <c r="AF18" s="4">
        <v>4</v>
      </c>
      <c r="AG18" s="17">
        <v>5</v>
      </c>
      <c r="AH18" s="7">
        <f>5200/29</f>
        <v>179.31034482758622</v>
      </c>
      <c r="AI18" s="7">
        <f>37693/83</f>
        <v>454.13253012048193</v>
      </c>
      <c r="AK18" s="3" t="s">
        <v>11</v>
      </c>
      <c r="AL18" s="4">
        <v>2</v>
      </c>
      <c r="AM18" s="4">
        <v>3</v>
      </c>
      <c r="AN18" s="4">
        <v>4</v>
      </c>
      <c r="AO18" s="4">
        <v>4</v>
      </c>
      <c r="AP18" s="17">
        <v>4</v>
      </c>
      <c r="AQ18" s="7">
        <f>5200/29</f>
        <v>179.31034482758622</v>
      </c>
      <c r="AR18" s="7">
        <f>37693/83</f>
        <v>454.13253012048193</v>
      </c>
      <c r="AT18" s="3" t="s">
        <v>11</v>
      </c>
      <c r="AU18" s="4">
        <v>1</v>
      </c>
      <c r="AV18" s="4">
        <v>1</v>
      </c>
      <c r="AW18" s="10">
        <v>0</v>
      </c>
      <c r="AX18" s="4">
        <v>0</v>
      </c>
      <c r="AY18" s="17">
        <v>1</v>
      </c>
      <c r="AZ18" s="7">
        <f>5200/29</f>
        <v>179.31034482758622</v>
      </c>
      <c r="BA18" s="7">
        <f>37693/83</f>
        <v>454.13253012048193</v>
      </c>
      <c r="BC18" s="10"/>
      <c r="BD18" s="10"/>
    </row>
    <row r="19" spans="1:56" ht="12.75">
      <c r="A19" s="2" t="s">
        <v>12</v>
      </c>
      <c r="B19" s="4">
        <v>409</v>
      </c>
      <c r="C19" s="4">
        <v>376</v>
      </c>
      <c r="D19" s="4">
        <v>312</v>
      </c>
      <c r="E19" s="4">
        <v>334</v>
      </c>
      <c r="F19" s="17">
        <v>659</v>
      </c>
      <c r="G19" s="7">
        <f>5149/29</f>
        <v>177.55172413793105</v>
      </c>
      <c r="H19" s="7">
        <f>106836/83</f>
        <v>1287.1807228915663</v>
      </c>
      <c r="J19" s="3" t="s">
        <v>12</v>
      </c>
      <c r="K19" s="4">
        <v>167</v>
      </c>
      <c r="L19" s="4">
        <v>168</v>
      </c>
      <c r="M19" s="4">
        <v>147</v>
      </c>
      <c r="N19" s="4">
        <v>138</v>
      </c>
      <c r="O19" s="17">
        <v>101</v>
      </c>
      <c r="P19" s="7">
        <f>5149/29</f>
        <v>177.55172413793105</v>
      </c>
      <c r="Q19" s="7">
        <f>106836/83</f>
        <v>1287.1807228915663</v>
      </c>
      <c r="S19" s="3" t="s">
        <v>12</v>
      </c>
      <c r="T19" s="4">
        <v>203</v>
      </c>
      <c r="U19" s="4">
        <v>210</v>
      </c>
      <c r="V19" s="4">
        <v>179</v>
      </c>
      <c r="W19" s="4">
        <v>151</v>
      </c>
      <c r="X19" s="17">
        <v>154</v>
      </c>
      <c r="Y19" s="7">
        <f>5149/29</f>
        <v>177.55172413793105</v>
      </c>
      <c r="Z19" s="7">
        <f>106836/83</f>
        <v>1287.1807228915663</v>
      </c>
      <c r="AB19" s="3" t="s">
        <v>12</v>
      </c>
      <c r="AC19" s="4"/>
      <c r="AD19" s="4">
        <v>3</v>
      </c>
      <c r="AE19" s="4">
        <v>5</v>
      </c>
      <c r="AF19" s="4">
        <v>10</v>
      </c>
      <c r="AG19" s="17">
        <v>21</v>
      </c>
      <c r="AH19" s="7">
        <f>5149/29</f>
        <v>177.55172413793105</v>
      </c>
      <c r="AI19" s="7">
        <f>106836/83</f>
        <v>1287.1807228915663</v>
      </c>
      <c r="AK19" s="3" t="s">
        <v>12</v>
      </c>
      <c r="AL19" s="4">
        <v>1</v>
      </c>
      <c r="AM19" s="4">
        <v>1</v>
      </c>
      <c r="AN19" s="4">
        <v>1</v>
      </c>
      <c r="AO19" s="4">
        <v>0</v>
      </c>
      <c r="AP19" s="17">
        <v>0</v>
      </c>
      <c r="AQ19" s="7">
        <f>5149/29</f>
        <v>177.55172413793105</v>
      </c>
      <c r="AR19" s="7">
        <f>106836/83</f>
        <v>1287.1807228915663</v>
      </c>
      <c r="AT19" s="3" t="s">
        <v>12</v>
      </c>
      <c r="AU19" s="4">
        <v>1</v>
      </c>
      <c r="AV19" s="4">
        <v>1</v>
      </c>
      <c r="AW19" s="4">
        <v>1</v>
      </c>
      <c r="AX19" s="4">
        <v>1</v>
      </c>
      <c r="AY19" s="17">
        <v>1</v>
      </c>
      <c r="AZ19" s="7">
        <f>5149/29</f>
        <v>177.55172413793105</v>
      </c>
      <c r="BA19" s="7">
        <f>106836/83</f>
        <v>1287.1807228915663</v>
      </c>
      <c r="BC19" s="10"/>
      <c r="BD19" s="10"/>
    </row>
    <row r="20" spans="1:56" ht="12.75">
      <c r="A20" s="2" t="s">
        <v>13</v>
      </c>
      <c r="B20" s="4">
        <v>270</v>
      </c>
      <c r="C20" s="4">
        <v>326</v>
      </c>
      <c r="D20" s="4">
        <v>470</v>
      </c>
      <c r="E20" s="4">
        <v>567</v>
      </c>
      <c r="F20" s="17">
        <v>748</v>
      </c>
      <c r="G20" s="7">
        <f>5624/29</f>
        <v>193.93103448275863</v>
      </c>
      <c r="H20" s="7">
        <f>58664/83</f>
        <v>706.7951807228916</v>
      </c>
      <c r="J20" s="3" t="s">
        <v>13</v>
      </c>
      <c r="K20" s="4">
        <v>9</v>
      </c>
      <c r="L20" s="4">
        <v>15</v>
      </c>
      <c r="M20" s="4">
        <v>11</v>
      </c>
      <c r="N20" s="4">
        <v>47</v>
      </c>
      <c r="O20" s="17">
        <v>14</v>
      </c>
      <c r="P20" s="7">
        <f>5624/29</f>
        <v>193.93103448275863</v>
      </c>
      <c r="Q20" s="7">
        <f>58664/83</f>
        <v>706.7951807228916</v>
      </c>
      <c r="S20" s="3" t="s">
        <v>13</v>
      </c>
      <c r="T20" s="4">
        <v>193</v>
      </c>
      <c r="U20" s="4">
        <v>201</v>
      </c>
      <c r="V20" s="4">
        <v>247</v>
      </c>
      <c r="W20" s="4">
        <v>292</v>
      </c>
      <c r="X20" s="17">
        <v>301</v>
      </c>
      <c r="Y20" s="7">
        <f>5624/29</f>
        <v>193.93103448275863</v>
      </c>
      <c r="Z20" s="7">
        <f>58664/83</f>
        <v>706.7951807228916</v>
      </c>
      <c r="AB20" s="3" t="s">
        <v>13</v>
      </c>
      <c r="AC20" s="4"/>
      <c r="AD20" s="4">
        <v>6</v>
      </c>
      <c r="AE20" s="4">
        <v>7</v>
      </c>
      <c r="AF20" s="4">
        <v>8</v>
      </c>
      <c r="AG20" s="17">
        <v>7</v>
      </c>
      <c r="AH20" s="7">
        <f>5624/29</f>
        <v>193.93103448275863</v>
      </c>
      <c r="AI20" s="7">
        <f>58664/83</f>
        <v>706.7951807228916</v>
      </c>
      <c r="AK20" s="3" t="s">
        <v>13</v>
      </c>
      <c r="AL20" s="4">
        <v>2</v>
      </c>
      <c r="AM20" s="4">
        <v>2</v>
      </c>
      <c r="AN20" s="4">
        <v>2</v>
      </c>
      <c r="AO20" s="4">
        <v>2</v>
      </c>
      <c r="AP20" s="17">
        <v>2</v>
      </c>
      <c r="AQ20" s="7">
        <f>5624/29</f>
        <v>193.93103448275863</v>
      </c>
      <c r="AR20" s="7">
        <f>58664/83</f>
        <v>706.7951807228916</v>
      </c>
      <c r="AT20" s="3" t="s">
        <v>13</v>
      </c>
      <c r="AU20" s="4">
        <v>3</v>
      </c>
      <c r="AV20" s="4">
        <v>6</v>
      </c>
      <c r="AW20" s="4">
        <v>3</v>
      </c>
      <c r="AX20" s="4">
        <v>3</v>
      </c>
      <c r="AY20" s="17">
        <v>3</v>
      </c>
      <c r="AZ20" s="7">
        <f>5624/29</f>
        <v>193.93103448275863</v>
      </c>
      <c r="BA20" s="7">
        <f>58664/83</f>
        <v>706.7951807228916</v>
      </c>
      <c r="BC20" s="10"/>
      <c r="BD20" s="10"/>
    </row>
    <row r="21" spans="1:56" ht="12.75">
      <c r="A21" s="2"/>
      <c r="B21" s="3"/>
      <c r="C21" s="3"/>
      <c r="D21" s="3"/>
      <c r="E21" s="4"/>
      <c r="F21" s="17"/>
      <c r="G21" s="3"/>
      <c r="H21" s="3"/>
      <c r="J21" s="3"/>
      <c r="K21" s="3"/>
      <c r="L21" s="3"/>
      <c r="M21" s="3"/>
      <c r="N21" s="4"/>
      <c r="O21" s="17"/>
      <c r="P21" s="3"/>
      <c r="Q21" s="3"/>
      <c r="S21" s="3"/>
      <c r="T21" s="3"/>
      <c r="U21" s="3"/>
      <c r="V21" s="3"/>
      <c r="W21" s="4"/>
      <c r="X21" s="17"/>
      <c r="Y21" s="3"/>
      <c r="Z21" s="3"/>
      <c r="AB21" s="3"/>
      <c r="AC21" s="3"/>
      <c r="AD21" s="3"/>
      <c r="AE21" s="3"/>
      <c r="AF21" s="4"/>
      <c r="AG21" s="17"/>
      <c r="AH21" s="3"/>
      <c r="AI21" s="3"/>
      <c r="AK21" s="3"/>
      <c r="AL21" s="3"/>
      <c r="AM21" s="3"/>
      <c r="AN21" s="3"/>
      <c r="AO21" s="4"/>
      <c r="AP21" s="17"/>
      <c r="AQ21" s="3"/>
      <c r="AR21" s="3"/>
      <c r="AT21" s="3"/>
      <c r="AU21" s="3"/>
      <c r="AV21" s="3"/>
      <c r="AW21" s="3"/>
      <c r="AX21" s="4"/>
      <c r="AY21" s="17"/>
      <c r="AZ21" s="3"/>
      <c r="BA21" s="3"/>
      <c r="BC21" s="4"/>
      <c r="BD21" s="4"/>
    </row>
    <row r="22" spans="1:56" ht="12.75">
      <c r="A22" s="48" t="s">
        <v>14</v>
      </c>
      <c r="B22" s="5">
        <v>5.42</v>
      </c>
      <c r="C22" s="5">
        <v>4.71</v>
      </c>
      <c r="D22" s="5">
        <v>3.28</v>
      </c>
      <c r="E22" s="5">
        <v>2.94</v>
      </c>
      <c r="F22" s="18">
        <v>3.78</v>
      </c>
      <c r="G22" s="5">
        <v>3.61</v>
      </c>
      <c r="H22" s="5">
        <v>4.35</v>
      </c>
      <c r="I22" s="6"/>
      <c r="J22" s="6" t="s">
        <v>14</v>
      </c>
      <c r="K22" s="5">
        <v>9.68</v>
      </c>
      <c r="L22" s="5">
        <v>9.67</v>
      </c>
      <c r="M22" s="5">
        <v>8.08</v>
      </c>
      <c r="N22" s="5">
        <v>7.67</v>
      </c>
      <c r="O22" s="18">
        <v>8.52</v>
      </c>
      <c r="P22" s="5">
        <v>3.61</v>
      </c>
      <c r="Q22" s="5">
        <v>4.35</v>
      </c>
      <c r="R22" s="6"/>
      <c r="S22" s="6" t="s">
        <v>14</v>
      </c>
      <c r="T22" s="5">
        <v>6.39</v>
      </c>
      <c r="U22" s="5">
        <v>7.18</v>
      </c>
      <c r="V22" s="5">
        <v>6.26</v>
      </c>
      <c r="W22" s="5">
        <v>5.57</v>
      </c>
      <c r="X22" s="18">
        <v>5.72</v>
      </c>
      <c r="Y22" s="5">
        <v>3.61</v>
      </c>
      <c r="Z22" s="5">
        <v>4.35</v>
      </c>
      <c r="AA22" s="6"/>
      <c r="AB22" s="6" t="s">
        <v>14</v>
      </c>
      <c r="AC22" s="5"/>
      <c r="AD22" s="5">
        <v>0.26</v>
      </c>
      <c r="AE22" s="5">
        <v>1.14</v>
      </c>
      <c r="AF22" s="5">
        <v>1.7</v>
      </c>
      <c r="AG22" s="18">
        <v>3.76</v>
      </c>
      <c r="AH22" s="5">
        <v>3.61</v>
      </c>
      <c r="AI22" s="5">
        <v>4.35</v>
      </c>
      <c r="AJ22" s="6"/>
      <c r="AK22" s="6" t="s">
        <v>14</v>
      </c>
      <c r="AL22" s="5">
        <v>1.5</v>
      </c>
      <c r="AM22" s="5">
        <v>1.52</v>
      </c>
      <c r="AN22" s="5">
        <v>1.46</v>
      </c>
      <c r="AO22" s="5">
        <v>1.92</v>
      </c>
      <c r="AP22" s="18">
        <v>1.7</v>
      </c>
      <c r="AQ22" s="5">
        <v>3.61</v>
      </c>
      <c r="AR22" s="5">
        <v>4.35</v>
      </c>
      <c r="AS22" s="6"/>
      <c r="AT22" s="6" t="s">
        <v>14</v>
      </c>
      <c r="AU22" s="5">
        <v>12.64</v>
      </c>
      <c r="AV22" s="5">
        <v>8.94</v>
      </c>
      <c r="AW22" s="5">
        <v>4.07</v>
      </c>
      <c r="AX22" s="5">
        <v>1.81</v>
      </c>
      <c r="AY22" s="18">
        <v>2.07</v>
      </c>
      <c r="AZ22" s="5">
        <v>3.61</v>
      </c>
      <c r="BA22" s="5">
        <v>4.35</v>
      </c>
      <c r="BB22" s="6"/>
      <c r="BC22" s="5"/>
      <c r="BD22" s="5"/>
    </row>
    <row r="23" spans="1:56" ht="12.75">
      <c r="A23" s="48" t="s">
        <v>18</v>
      </c>
      <c r="B23" s="5">
        <v>5.4</v>
      </c>
      <c r="C23" s="5">
        <v>5.21</v>
      </c>
      <c r="D23" s="6">
        <v>4.67</v>
      </c>
      <c r="E23" s="5">
        <v>4.57</v>
      </c>
      <c r="F23" s="18">
        <v>4.29</v>
      </c>
      <c r="G23" s="5">
        <v>4.93</v>
      </c>
      <c r="H23" s="5">
        <v>3.79</v>
      </c>
      <c r="I23" s="6"/>
      <c r="J23" s="6" t="s">
        <v>18</v>
      </c>
      <c r="K23" s="5">
        <v>2.32</v>
      </c>
      <c r="L23" s="5">
        <v>3.48</v>
      </c>
      <c r="M23" s="6">
        <v>2.43</v>
      </c>
      <c r="N23" s="5">
        <v>-0.28</v>
      </c>
      <c r="O23" s="18">
        <v>-1.33</v>
      </c>
      <c r="P23" s="5">
        <v>4.93</v>
      </c>
      <c r="Q23" s="5">
        <v>3.79</v>
      </c>
      <c r="R23" s="6"/>
      <c r="S23" s="6" t="s">
        <v>18</v>
      </c>
      <c r="T23" s="5">
        <v>4.15</v>
      </c>
      <c r="U23" s="5">
        <v>6.37</v>
      </c>
      <c r="V23" s="6">
        <v>9.62</v>
      </c>
      <c r="W23" s="5">
        <v>8.49</v>
      </c>
      <c r="X23" s="18">
        <v>4.85</v>
      </c>
      <c r="Y23" s="5">
        <v>4.93</v>
      </c>
      <c r="Z23" s="5">
        <v>3.79</v>
      </c>
      <c r="AA23" s="6"/>
      <c r="AB23" s="6" t="s">
        <v>18</v>
      </c>
      <c r="AC23" s="5"/>
      <c r="AD23" s="5">
        <v>3.4</v>
      </c>
      <c r="AE23" s="6">
        <v>4.68</v>
      </c>
      <c r="AF23" s="5">
        <v>2.52</v>
      </c>
      <c r="AG23" s="18">
        <v>1.76</v>
      </c>
      <c r="AH23" s="5">
        <v>4.93</v>
      </c>
      <c r="AI23" s="5">
        <v>3.79</v>
      </c>
      <c r="AJ23" s="6"/>
      <c r="AK23" s="6" t="s">
        <v>18</v>
      </c>
      <c r="AL23" s="5">
        <v>6.85</v>
      </c>
      <c r="AM23" s="5">
        <v>7.61</v>
      </c>
      <c r="AN23" s="6">
        <v>6.88</v>
      </c>
      <c r="AO23" s="5">
        <v>4.63</v>
      </c>
      <c r="AP23" s="18">
        <v>6.64</v>
      </c>
      <c r="AQ23" s="5">
        <v>4.93</v>
      </c>
      <c r="AR23" s="5">
        <v>3.79</v>
      </c>
      <c r="AS23" s="6"/>
      <c r="AT23" s="6" t="s">
        <v>18</v>
      </c>
      <c r="AU23" s="5">
        <v>-6.2</v>
      </c>
      <c r="AV23" s="5">
        <v>0.44</v>
      </c>
      <c r="AW23" s="6">
        <v>6.73</v>
      </c>
      <c r="AX23" s="5">
        <v>5.44</v>
      </c>
      <c r="AY23" s="18">
        <v>9.02</v>
      </c>
      <c r="AZ23" s="5">
        <v>4.93</v>
      </c>
      <c r="BA23" s="5">
        <v>3.79</v>
      </c>
      <c r="BB23" s="6"/>
      <c r="BC23" s="5"/>
      <c r="BD23" s="5"/>
    </row>
    <row r="24" spans="1:56" ht="12.75">
      <c r="A24" s="48" t="s">
        <v>54</v>
      </c>
      <c r="B24" s="5">
        <v>13.45</v>
      </c>
      <c r="C24" s="5">
        <v>13.19</v>
      </c>
      <c r="D24" s="5">
        <v>16.59</v>
      </c>
      <c r="E24" s="5">
        <v>19.67</v>
      </c>
      <c r="F24" s="18">
        <v>18.14</v>
      </c>
      <c r="G24" s="5">
        <v>18.35</v>
      </c>
      <c r="H24" s="5">
        <v>20.17</v>
      </c>
      <c r="I24" s="6"/>
      <c r="J24" s="6" t="s">
        <v>54</v>
      </c>
      <c r="K24" s="5">
        <v>2.14</v>
      </c>
      <c r="L24" s="5">
        <v>2.4</v>
      </c>
      <c r="M24" s="5">
        <v>2.67</v>
      </c>
      <c r="N24" s="5">
        <v>4.46</v>
      </c>
      <c r="O24" s="18">
        <v>2.82</v>
      </c>
      <c r="P24" s="5">
        <v>18.35</v>
      </c>
      <c r="Q24" s="5">
        <v>20.17</v>
      </c>
      <c r="R24" s="6"/>
      <c r="S24" s="6" t="s">
        <v>54</v>
      </c>
      <c r="T24" s="5">
        <v>16.6</v>
      </c>
      <c r="U24" s="5">
        <v>18.13</v>
      </c>
      <c r="V24" s="5">
        <v>21.97</v>
      </c>
      <c r="W24" s="5">
        <v>24.15</v>
      </c>
      <c r="X24" s="18">
        <v>26.09</v>
      </c>
      <c r="Y24" s="5">
        <v>18.35</v>
      </c>
      <c r="Z24" s="5">
        <v>20.17</v>
      </c>
      <c r="AA24" s="6"/>
      <c r="AB24" s="6" t="s">
        <v>54</v>
      </c>
      <c r="AC24" s="5"/>
      <c r="AD24" s="5">
        <v>24.09</v>
      </c>
      <c r="AE24" s="5">
        <v>21.27</v>
      </c>
      <c r="AF24" s="5">
        <v>16.22</v>
      </c>
      <c r="AG24" s="18">
        <v>9.94</v>
      </c>
      <c r="AH24" s="5">
        <v>18.35</v>
      </c>
      <c r="AI24" s="5">
        <v>20.17</v>
      </c>
      <c r="AJ24" s="6"/>
      <c r="AK24" s="6" t="s">
        <v>54</v>
      </c>
      <c r="AL24" s="5">
        <v>25.12</v>
      </c>
      <c r="AM24" s="5">
        <v>22.41</v>
      </c>
      <c r="AN24" s="5">
        <v>23.58</v>
      </c>
      <c r="AO24" s="5">
        <v>24.97</v>
      </c>
      <c r="AP24" s="18">
        <v>23.99</v>
      </c>
      <c r="AQ24" s="5">
        <v>18.35</v>
      </c>
      <c r="AR24" s="5">
        <v>20.17</v>
      </c>
      <c r="AS24" s="6"/>
      <c r="AT24" s="6" t="s">
        <v>54</v>
      </c>
      <c r="AU24" s="5">
        <v>12.95</v>
      </c>
      <c r="AV24" s="5">
        <v>7.48</v>
      </c>
      <c r="AW24" s="5">
        <v>14.95</v>
      </c>
      <c r="AX24" s="5">
        <v>19.46</v>
      </c>
      <c r="AY24" s="18">
        <v>19.22</v>
      </c>
      <c r="AZ24" s="5">
        <v>18.35</v>
      </c>
      <c r="BA24" s="5">
        <v>20.17</v>
      </c>
      <c r="BB24" s="6"/>
      <c r="BC24" s="5"/>
      <c r="BD24" s="5"/>
    </row>
    <row r="25" spans="1:56" ht="12.75">
      <c r="A25" s="48"/>
      <c r="B25" s="6"/>
      <c r="C25" s="6"/>
      <c r="D25" s="6"/>
      <c r="E25" s="5"/>
      <c r="F25" s="18"/>
      <c r="G25" s="6"/>
      <c r="H25" s="6"/>
      <c r="I25" s="6"/>
      <c r="J25" s="6"/>
      <c r="K25" s="6"/>
      <c r="L25" s="6"/>
      <c r="M25" s="6"/>
      <c r="N25" s="5"/>
      <c r="O25" s="18"/>
      <c r="P25" s="6"/>
      <c r="Q25" s="6"/>
      <c r="R25" s="6"/>
      <c r="S25" s="6"/>
      <c r="T25" s="6"/>
      <c r="U25" s="6"/>
      <c r="V25" s="6"/>
      <c r="W25" s="5"/>
      <c r="X25" s="18"/>
      <c r="Y25" s="6"/>
      <c r="Z25" s="6"/>
      <c r="AA25" s="6"/>
      <c r="AB25" s="6"/>
      <c r="AC25" s="6"/>
      <c r="AD25" s="6"/>
      <c r="AE25" s="6"/>
      <c r="AF25" s="5"/>
      <c r="AG25" s="18"/>
      <c r="AH25" s="6"/>
      <c r="AI25" s="6"/>
      <c r="AJ25" s="6"/>
      <c r="AK25" s="6"/>
      <c r="AL25" s="6"/>
      <c r="AM25" s="6"/>
      <c r="AN25" s="6"/>
      <c r="AO25" s="5"/>
      <c r="AP25" s="18"/>
      <c r="AQ25" s="6"/>
      <c r="AR25" s="6"/>
      <c r="AS25" s="6"/>
      <c r="AT25" s="6"/>
      <c r="AU25" s="6"/>
      <c r="AV25" s="6"/>
      <c r="AW25" s="6"/>
      <c r="AX25" s="5"/>
      <c r="AY25" s="18"/>
      <c r="AZ25" s="6"/>
      <c r="BA25" s="6"/>
      <c r="BB25" s="6"/>
      <c r="BC25" s="5"/>
      <c r="BD25" s="5"/>
    </row>
    <row r="26" spans="1:56" ht="12.75">
      <c r="A26" s="48" t="s">
        <v>15</v>
      </c>
      <c r="B26" s="5">
        <v>1.72</v>
      </c>
      <c r="C26" s="5">
        <v>1.56</v>
      </c>
      <c r="D26" s="5">
        <v>1.84</v>
      </c>
      <c r="E26" s="5">
        <v>1.27</v>
      </c>
      <c r="F26" s="18">
        <v>1.03</v>
      </c>
      <c r="G26" s="5">
        <v>2.09</v>
      </c>
      <c r="H26" s="5">
        <v>1</v>
      </c>
      <c r="I26" s="6"/>
      <c r="J26" s="6" t="s">
        <v>15</v>
      </c>
      <c r="K26" s="5">
        <v>0.47</v>
      </c>
      <c r="L26" s="5">
        <v>0.17</v>
      </c>
      <c r="M26" s="5">
        <v>0.5</v>
      </c>
      <c r="N26" s="5">
        <v>-2.57</v>
      </c>
      <c r="O26" s="18">
        <v>0.35</v>
      </c>
      <c r="P26" s="5">
        <v>2.09</v>
      </c>
      <c r="Q26" s="5">
        <v>1</v>
      </c>
      <c r="R26" s="6"/>
      <c r="S26" s="6" t="s">
        <v>15</v>
      </c>
      <c r="T26" s="5">
        <v>0.27</v>
      </c>
      <c r="U26" s="5">
        <v>-0.9</v>
      </c>
      <c r="V26" s="5">
        <v>-0.69</v>
      </c>
      <c r="W26" s="5">
        <v>0.55</v>
      </c>
      <c r="X26" s="18">
        <v>1.45</v>
      </c>
      <c r="Y26" s="5">
        <v>2.09</v>
      </c>
      <c r="Z26" s="5">
        <v>1</v>
      </c>
      <c r="AA26" s="6"/>
      <c r="AB26" s="6" t="s">
        <v>15</v>
      </c>
      <c r="AC26" s="5"/>
      <c r="AD26" s="5">
        <v>0.36</v>
      </c>
      <c r="AE26" s="5">
        <v>1.18</v>
      </c>
      <c r="AF26" s="5">
        <v>1</v>
      </c>
      <c r="AG26" s="18">
        <v>1.21</v>
      </c>
      <c r="AH26" s="5">
        <v>2.09</v>
      </c>
      <c r="AI26" s="5">
        <v>1</v>
      </c>
      <c r="AJ26" s="6"/>
      <c r="AK26" s="6" t="s">
        <v>15</v>
      </c>
      <c r="AL26" s="5">
        <v>3.03</v>
      </c>
      <c r="AM26" s="5">
        <v>2.78</v>
      </c>
      <c r="AN26" s="5">
        <v>3.67</v>
      </c>
      <c r="AO26" s="5">
        <v>2.87</v>
      </c>
      <c r="AP26" s="18">
        <v>3.43</v>
      </c>
      <c r="AQ26" s="5">
        <v>2.09</v>
      </c>
      <c r="AR26" s="5">
        <v>1</v>
      </c>
      <c r="AS26" s="6"/>
      <c r="AT26" s="6" t="s">
        <v>15</v>
      </c>
      <c r="AU26" s="5">
        <v>0.23</v>
      </c>
      <c r="AV26" s="5">
        <v>3.75</v>
      </c>
      <c r="AW26" s="5">
        <v>-0.33</v>
      </c>
      <c r="AX26" s="5">
        <v>-0.98</v>
      </c>
      <c r="AY26" s="18">
        <v>-1.28</v>
      </c>
      <c r="AZ26" s="5">
        <v>2.09</v>
      </c>
      <c r="BA26" s="5">
        <v>1</v>
      </c>
      <c r="BB26" s="6"/>
      <c r="BC26" s="5"/>
      <c r="BD26" s="5"/>
    </row>
    <row r="27" spans="1:56" ht="12.75">
      <c r="A27" s="48" t="s">
        <v>16</v>
      </c>
      <c r="B27" s="5">
        <v>13.17</v>
      </c>
      <c r="C27" s="5">
        <v>12.57</v>
      </c>
      <c r="D27" s="5">
        <v>13.48</v>
      </c>
      <c r="E27" s="5">
        <v>10.55</v>
      </c>
      <c r="F27" s="18">
        <v>10.44</v>
      </c>
      <c r="G27" s="5">
        <v>12.58</v>
      </c>
      <c r="H27" s="6">
        <v>12.24</v>
      </c>
      <c r="I27" s="6"/>
      <c r="J27" s="6" t="s">
        <v>16</v>
      </c>
      <c r="K27" s="5">
        <v>10.42</v>
      </c>
      <c r="L27" s="5">
        <v>10.14</v>
      </c>
      <c r="M27" s="5">
        <v>14.22</v>
      </c>
      <c r="N27" s="5">
        <v>14.38</v>
      </c>
      <c r="O27" s="18">
        <v>36.98</v>
      </c>
      <c r="P27" s="5">
        <v>12.58</v>
      </c>
      <c r="Q27" s="6">
        <v>12.24</v>
      </c>
      <c r="R27" s="6"/>
      <c r="S27" s="6" t="s">
        <v>16</v>
      </c>
      <c r="T27" s="5">
        <v>10.71</v>
      </c>
      <c r="U27" s="5">
        <v>10.93</v>
      </c>
      <c r="V27" s="5">
        <v>10.74</v>
      </c>
      <c r="W27" s="5">
        <v>10.87</v>
      </c>
      <c r="X27" s="18">
        <v>10.26</v>
      </c>
      <c r="Y27" s="5">
        <v>12.58</v>
      </c>
      <c r="Z27" s="6">
        <v>12.24</v>
      </c>
      <c r="AA27" s="6"/>
      <c r="AB27" s="6" t="s">
        <v>16</v>
      </c>
      <c r="AC27" s="5"/>
      <c r="AD27" s="5">
        <v>92.69</v>
      </c>
      <c r="AE27" s="5">
        <v>53.22</v>
      </c>
      <c r="AF27" s="5">
        <v>39.99</v>
      </c>
      <c r="AG27" s="18">
        <v>39.67</v>
      </c>
      <c r="AH27" s="5">
        <v>12.58</v>
      </c>
      <c r="AI27" s="6">
        <v>12.24</v>
      </c>
      <c r="AJ27" s="6"/>
      <c r="AK27" s="6" t="s">
        <v>16</v>
      </c>
      <c r="AL27" s="5">
        <v>138.51</v>
      </c>
      <c r="AM27" s="5">
        <v>105.64</v>
      </c>
      <c r="AN27" s="5">
        <v>111.34</v>
      </c>
      <c r="AO27" s="5">
        <v>109.39</v>
      </c>
      <c r="AP27" s="18">
        <v>86.21</v>
      </c>
      <c r="AQ27" s="5">
        <v>12.58</v>
      </c>
      <c r="AR27" s="6">
        <v>12.24</v>
      </c>
      <c r="AS27" s="6"/>
      <c r="AT27" s="6" t="s">
        <v>16</v>
      </c>
      <c r="AU27" s="5">
        <v>123.07</v>
      </c>
      <c r="AV27" s="5">
        <v>103.99</v>
      </c>
      <c r="AW27" s="5">
        <v>133.94</v>
      </c>
      <c r="AX27" s="5">
        <v>92.26</v>
      </c>
      <c r="AY27" s="18">
        <v>108.87</v>
      </c>
      <c r="AZ27" s="5">
        <v>12.58</v>
      </c>
      <c r="BA27" s="6">
        <v>12.24</v>
      </c>
      <c r="BB27" s="6"/>
      <c r="BC27" s="5"/>
      <c r="BD27" s="5"/>
    </row>
    <row r="28" spans="1:56" ht="12.75">
      <c r="A28" s="48" t="s">
        <v>17</v>
      </c>
      <c r="B28" s="6">
        <v>1.34</v>
      </c>
      <c r="C28" s="6">
        <v>1.54</v>
      </c>
      <c r="D28" s="6">
        <v>0.88</v>
      </c>
      <c r="E28" s="5">
        <v>0.35</v>
      </c>
      <c r="F28" s="18">
        <v>0.11</v>
      </c>
      <c r="G28" s="5">
        <v>0.78</v>
      </c>
      <c r="H28" s="5">
        <v>1.22</v>
      </c>
      <c r="I28" s="6"/>
      <c r="J28" s="6" t="s">
        <v>17</v>
      </c>
      <c r="K28" s="6">
        <v>13.43</v>
      </c>
      <c r="L28" s="6">
        <v>9.68</v>
      </c>
      <c r="M28" s="6">
        <v>27.39</v>
      </c>
      <c r="N28" s="5">
        <v>12.73</v>
      </c>
      <c r="O28" s="18">
        <v>15.97</v>
      </c>
      <c r="P28" s="5">
        <v>0.78</v>
      </c>
      <c r="Q28" s="5">
        <v>1.22</v>
      </c>
      <c r="R28" s="6"/>
      <c r="S28" s="6" t="s">
        <v>17</v>
      </c>
      <c r="T28" s="6">
        <v>7.56</v>
      </c>
      <c r="U28" s="6">
        <v>8.69</v>
      </c>
      <c r="V28" s="6">
        <v>5.68</v>
      </c>
      <c r="W28" s="5">
        <v>0.99</v>
      </c>
      <c r="X28" s="18">
        <v>0.58</v>
      </c>
      <c r="Y28" s="5">
        <v>0.78</v>
      </c>
      <c r="Z28" s="5">
        <v>1.22</v>
      </c>
      <c r="AA28" s="6"/>
      <c r="AB28" s="6" t="s">
        <v>17</v>
      </c>
      <c r="AC28" s="6"/>
      <c r="AD28" s="35">
        <v>0</v>
      </c>
      <c r="AE28" s="6">
        <v>0</v>
      </c>
      <c r="AF28" s="5">
        <v>0</v>
      </c>
      <c r="AG28" s="18">
        <v>0</v>
      </c>
      <c r="AH28" s="5">
        <v>0.78</v>
      </c>
      <c r="AI28" s="5">
        <v>1.22</v>
      </c>
      <c r="AJ28" s="6"/>
      <c r="AK28" s="6" t="s">
        <v>17</v>
      </c>
      <c r="AL28" s="6">
        <v>1.39</v>
      </c>
      <c r="AM28" s="6">
        <v>1.55</v>
      </c>
      <c r="AN28" s="6">
        <v>0.37</v>
      </c>
      <c r="AO28" s="5">
        <v>0.18</v>
      </c>
      <c r="AP28" s="18">
        <v>0</v>
      </c>
      <c r="AQ28" s="5">
        <v>0.78</v>
      </c>
      <c r="AR28" s="5">
        <v>1.22</v>
      </c>
      <c r="AS28" s="6"/>
      <c r="AT28" s="6" t="s">
        <v>17</v>
      </c>
      <c r="AU28" s="6">
        <v>61.39</v>
      </c>
      <c r="AV28" s="6">
        <v>15.2</v>
      </c>
      <c r="AW28" s="6">
        <v>72.15</v>
      </c>
      <c r="AX28" s="5">
        <v>10.49</v>
      </c>
      <c r="AY28" s="18">
        <v>0</v>
      </c>
      <c r="AZ28" s="5">
        <v>0.78</v>
      </c>
      <c r="BA28" s="5">
        <v>1.22</v>
      </c>
      <c r="BB28" s="6"/>
      <c r="BC28" s="5"/>
      <c r="BD28" s="5"/>
    </row>
    <row r="29" spans="55:56" s="3" customFormat="1" ht="12.75">
      <c r="BC29" s="4"/>
      <c r="BD29" s="4"/>
    </row>
    <row r="30" ht="12.75">
      <c r="BC30" s="3"/>
    </row>
    <row r="31" spans="1:55" ht="12.75">
      <c r="A31" s="26" t="s">
        <v>29</v>
      </c>
      <c r="B31" s="27"/>
      <c r="C31" s="27"/>
      <c r="D31" s="27"/>
      <c r="E31" s="27"/>
      <c r="F31" s="27"/>
      <c r="G31" s="27"/>
      <c r="H31" s="26" t="s">
        <v>32</v>
      </c>
      <c r="J31" s="26" t="s">
        <v>29</v>
      </c>
      <c r="K31" s="27"/>
      <c r="L31" s="27"/>
      <c r="M31" s="27"/>
      <c r="N31" s="27"/>
      <c r="O31" s="27"/>
      <c r="P31" s="26" t="s">
        <v>33</v>
      </c>
      <c r="Q31" s="27"/>
      <c r="S31" s="26" t="s">
        <v>29</v>
      </c>
      <c r="T31" s="27"/>
      <c r="U31" s="27"/>
      <c r="V31" s="27"/>
      <c r="W31" s="27"/>
      <c r="X31" s="27"/>
      <c r="Y31" s="27"/>
      <c r="Z31" s="26" t="s">
        <v>34</v>
      </c>
      <c r="AB31" s="26" t="s">
        <v>29</v>
      </c>
      <c r="AC31" s="27"/>
      <c r="AD31" s="27"/>
      <c r="AE31" s="27"/>
      <c r="AF31" s="27"/>
      <c r="AG31" s="27"/>
      <c r="AH31" s="26" t="s">
        <v>81</v>
      </c>
      <c r="AI31" s="27"/>
      <c r="AK31" s="26" t="s">
        <v>29</v>
      </c>
      <c r="AL31" s="27"/>
      <c r="AM31" s="27"/>
      <c r="AN31" s="27"/>
      <c r="AO31" s="27"/>
      <c r="AP31" s="27"/>
      <c r="AQ31" s="26" t="s">
        <v>82</v>
      </c>
      <c r="AR31" s="27"/>
      <c r="AT31" s="26" t="s">
        <v>29</v>
      </c>
      <c r="AU31" s="27"/>
      <c r="AV31" s="27"/>
      <c r="AW31" s="27"/>
      <c r="AX31" s="27"/>
      <c r="AY31" s="27"/>
      <c r="AZ31" s="27"/>
      <c r="BA31" s="26" t="s">
        <v>35</v>
      </c>
      <c r="BC31" s="3"/>
    </row>
    <row r="32" spans="7:53" s="3" customFormat="1" ht="12.75">
      <c r="G32" s="34"/>
      <c r="H32" s="36" t="s">
        <v>19</v>
      </c>
      <c r="P32" s="34"/>
      <c r="Q32" s="36" t="s">
        <v>19</v>
      </c>
      <c r="Y32" s="34"/>
      <c r="Z32" s="36" t="s">
        <v>19</v>
      </c>
      <c r="AH32" s="34"/>
      <c r="AI32" s="36" t="s">
        <v>19</v>
      </c>
      <c r="AQ32" s="34"/>
      <c r="AR32" s="36" t="s">
        <v>19</v>
      </c>
      <c r="AZ32" s="34"/>
      <c r="BA32" s="36" t="s">
        <v>19</v>
      </c>
    </row>
    <row r="33" spans="1:53" ht="12.75">
      <c r="A33" s="32" t="s">
        <v>4</v>
      </c>
      <c r="B33" s="17" t="s">
        <v>0</v>
      </c>
      <c r="C33" s="17" t="s">
        <v>1</v>
      </c>
      <c r="D33" s="17" t="s">
        <v>2</v>
      </c>
      <c r="E33" s="17" t="s">
        <v>3</v>
      </c>
      <c r="F33" s="17" t="s">
        <v>117</v>
      </c>
      <c r="G33" s="17" t="s">
        <v>53</v>
      </c>
      <c r="H33" s="17" t="s">
        <v>111</v>
      </c>
      <c r="J33" s="17" t="s">
        <v>4</v>
      </c>
      <c r="K33" s="17" t="s">
        <v>0</v>
      </c>
      <c r="L33" s="17" t="s">
        <v>1</v>
      </c>
      <c r="M33" s="17" t="s">
        <v>2</v>
      </c>
      <c r="N33" s="17" t="s">
        <v>3</v>
      </c>
      <c r="O33" s="17" t="s">
        <v>117</v>
      </c>
      <c r="P33" s="17" t="s">
        <v>53</v>
      </c>
      <c r="Q33" s="17" t="s">
        <v>111</v>
      </c>
      <c r="S33" s="17" t="s">
        <v>4</v>
      </c>
      <c r="T33" s="17" t="s">
        <v>0</v>
      </c>
      <c r="U33" s="17" t="s">
        <v>1</v>
      </c>
      <c r="V33" s="17" t="s">
        <v>2</v>
      </c>
      <c r="W33" s="17" t="s">
        <v>3</v>
      </c>
      <c r="X33" s="17" t="s">
        <v>117</v>
      </c>
      <c r="Y33" s="17" t="s">
        <v>53</v>
      </c>
      <c r="Z33" s="17" t="s">
        <v>111</v>
      </c>
      <c r="AB33" s="17" t="s">
        <v>4</v>
      </c>
      <c r="AC33" s="17" t="s">
        <v>0</v>
      </c>
      <c r="AD33" s="17" t="s">
        <v>1</v>
      </c>
      <c r="AE33" s="17" t="s">
        <v>2</v>
      </c>
      <c r="AF33" s="17" t="s">
        <v>3</v>
      </c>
      <c r="AG33" s="17" t="s">
        <v>117</v>
      </c>
      <c r="AH33" s="17" t="s">
        <v>53</v>
      </c>
      <c r="AI33" s="17" t="s">
        <v>111</v>
      </c>
      <c r="AK33" s="17" t="s">
        <v>4</v>
      </c>
      <c r="AL33" s="17" t="s">
        <v>0</v>
      </c>
      <c r="AM33" s="17" t="s">
        <v>1</v>
      </c>
      <c r="AN33" s="17" t="s">
        <v>2</v>
      </c>
      <c r="AO33" s="17" t="s">
        <v>3</v>
      </c>
      <c r="AP33" s="17" t="s">
        <v>117</v>
      </c>
      <c r="AQ33" s="17" t="s">
        <v>53</v>
      </c>
      <c r="AR33" s="17" t="s">
        <v>111</v>
      </c>
      <c r="AT33" s="17" t="s">
        <v>4</v>
      </c>
      <c r="AU33" s="17" t="s">
        <v>0</v>
      </c>
      <c r="AV33" s="17" t="s">
        <v>1</v>
      </c>
      <c r="AW33" s="17" t="s">
        <v>2</v>
      </c>
      <c r="AX33" s="17" t="s">
        <v>3</v>
      </c>
      <c r="AY33" s="17" t="s">
        <v>117</v>
      </c>
      <c r="AZ33" s="17" t="s">
        <v>53</v>
      </c>
      <c r="BA33" s="17" t="s">
        <v>111</v>
      </c>
    </row>
    <row r="34" spans="1:53" ht="12.75">
      <c r="A34" s="32"/>
      <c r="B34" s="17"/>
      <c r="C34" s="17"/>
      <c r="D34" s="17"/>
      <c r="E34" s="17"/>
      <c r="F34" s="17"/>
      <c r="G34" s="28" t="s">
        <v>117</v>
      </c>
      <c r="H34" s="28" t="s">
        <v>117</v>
      </c>
      <c r="I34" s="4"/>
      <c r="J34" s="17"/>
      <c r="K34" s="17"/>
      <c r="L34" s="17"/>
      <c r="M34" s="17"/>
      <c r="N34" s="17"/>
      <c r="O34" s="17"/>
      <c r="P34" s="28" t="s">
        <v>117</v>
      </c>
      <c r="Q34" s="28" t="s">
        <v>117</v>
      </c>
      <c r="S34" s="17"/>
      <c r="T34" s="17"/>
      <c r="U34" s="17"/>
      <c r="V34" s="17"/>
      <c r="W34" s="17"/>
      <c r="X34" s="17"/>
      <c r="Y34" s="28" t="s">
        <v>117</v>
      </c>
      <c r="Z34" s="28" t="s">
        <v>117</v>
      </c>
      <c r="AB34" s="17"/>
      <c r="AC34" s="17"/>
      <c r="AD34" s="17"/>
      <c r="AE34" s="17"/>
      <c r="AF34" s="17"/>
      <c r="AG34" s="17"/>
      <c r="AH34" s="28" t="s">
        <v>117</v>
      </c>
      <c r="AI34" s="28" t="s">
        <v>117</v>
      </c>
      <c r="AK34" s="17"/>
      <c r="AL34" s="17"/>
      <c r="AM34" s="17"/>
      <c r="AN34" s="17"/>
      <c r="AO34" s="17"/>
      <c r="AP34" s="17"/>
      <c r="AQ34" s="28" t="s">
        <v>117</v>
      </c>
      <c r="AR34" s="28" t="s">
        <v>117</v>
      </c>
      <c r="AT34" s="17"/>
      <c r="AU34" s="17"/>
      <c r="AV34" s="17"/>
      <c r="AW34" s="17"/>
      <c r="AX34" s="17"/>
      <c r="AY34" s="17"/>
      <c r="AZ34" s="28" t="s">
        <v>117</v>
      </c>
      <c r="BA34" s="28" t="s">
        <v>117</v>
      </c>
    </row>
    <row r="35" spans="1:53" ht="12.75">
      <c r="A35" s="3" t="s">
        <v>5</v>
      </c>
      <c r="B35" s="3">
        <v>5</v>
      </c>
      <c r="C35" s="3">
        <v>5</v>
      </c>
      <c r="D35" s="3">
        <v>5</v>
      </c>
      <c r="E35" s="4">
        <v>5</v>
      </c>
      <c r="F35" s="17">
        <v>5</v>
      </c>
      <c r="G35" s="7">
        <f>261/29</f>
        <v>9</v>
      </c>
      <c r="H35" s="7">
        <f>(14039+35356+261+6746)/83</f>
        <v>679.5421686746988</v>
      </c>
      <c r="J35" s="3" t="s">
        <v>5</v>
      </c>
      <c r="K35" s="3">
        <v>2</v>
      </c>
      <c r="L35" s="3">
        <v>2</v>
      </c>
      <c r="M35" s="3">
        <v>2</v>
      </c>
      <c r="N35" s="4">
        <v>2</v>
      </c>
      <c r="O35" s="17">
        <v>2</v>
      </c>
      <c r="P35" s="7">
        <f>261/29</f>
        <v>9</v>
      </c>
      <c r="Q35" s="7">
        <f>(14039+35356+261+6746)/83</f>
        <v>679.5421686746988</v>
      </c>
      <c r="S35" s="3" t="s">
        <v>5</v>
      </c>
      <c r="T35" s="3">
        <v>1</v>
      </c>
      <c r="U35" s="3">
        <v>1</v>
      </c>
      <c r="V35" s="3">
        <v>1</v>
      </c>
      <c r="W35" s="4">
        <v>1</v>
      </c>
      <c r="X35" s="17">
        <v>1</v>
      </c>
      <c r="Y35" s="7">
        <f>261/29</f>
        <v>9</v>
      </c>
      <c r="Z35" s="7">
        <f>(14039+35356+261+6746)/83</f>
        <v>679.5421686746988</v>
      </c>
      <c r="AB35" s="3" t="s">
        <v>5</v>
      </c>
      <c r="AC35" s="3">
        <v>5</v>
      </c>
      <c r="AD35" s="3">
        <v>5</v>
      </c>
      <c r="AE35" s="3">
        <v>5</v>
      </c>
      <c r="AF35" s="4">
        <v>5</v>
      </c>
      <c r="AG35" s="17">
        <v>5</v>
      </c>
      <c r="AH35" s="7">
        <f>261/29</f>
        <v>9</v>
      </c>
      <c r="AI35" s="7">
        <f>(14039+35356+261+6746)/83</f>
        <v>679.5421686746988</v>
      </c>
      <c r="AK35" s="3" t="s">
        <v>5</v>
      </c>
      <c r="AL35" s="3">
        <v>4</v>
      </c>
      <c r="AM35" s="3">
        <v>3</v>
      </c>
      <c r="AN35" s="3">
        <v>3</v>
      </c>
      <c r="AO35" s="4">
        <v>3</v>
      </c>
      <c r="AP35" s="17">
        <v>3</v>
      </c>
      <c r="AQ35" s="7">
        <f>261/29</f>
        <v>9</v>
      </c>
      <c r="AR35" s="7">
        <f>(14039+35356+261+6746)/83</f>
        <v>679.5421686746988</v>
      </c>
      <c r="AT35" s="3" t="s">
        <v>5</v>
      </c>
      <c r="AU35" s="3">
        <v>2</v>
      </c>
      <c r="AV35" s="3">
        <v>1</v>
      </c>
      <c r="AW35" s="3">
        <v>1</v>
      </c>
      <c r="AX35" s="4">
        <v>1</v>
      </c>
      <c r="AY35" s="17">
        <v>1</v>
      </c>
      <c r="AZ35" s="7">
        <f>261/29</f>
        <v>9</v>
      </c>
      <c r="BA35" s="7">
        <f>(14039+35356+261+6746)/83</f>
        <v>679.5421686746988</v>
      </c>
    </row>
    <row r="36" spans="1:53" ht="12.75">
      <c r="A36" s="2" t="s">
        <v>6</v>
      </c>
      <c r="B36" s="3">
        <v>295</v>
      </c>
      <c r="C36" s="3">
        <v>262</v>
      </c>
      <c r="D36" s="9">
        <v>270</v>
      </c>
      <c r="E36" s="11">
        <v>275</v>
      </c>
      <c r="F36" s="22">
        <v>282</v>
      </c>
      <c r="G36" s="7">
        <v>724</v>
      </c>
      <c r="H36" s="7">
        <v>10458</v>
      </c>
      <c r="J36" s="3" t="s">
        <v>6</v>
      </c>
      <c r="K36" s="3">
        <v>91</v>
      </c>
      <c r="L36" s="13" t="s">
        <v>114</v>
      </c>
      <c r="M36" s="3">
        <v>90</v>
      </c>
      <c r="N36" s="11">
        <v>80</v>
      </c>
      <c r="O36" s="22">
        <v>68</v>
      </c>
      <c r="P36" s="7">
        <v>724</v>
      </c>
      <c r="Q36" s="7">
        <v>10458</v>
      </c>
      <c r="S36" s="3" t="s">
        <v>6</v>
      </c>
      <c r="T36" s="3">
        <v>24</v>
      </c>
      <c r="U36" s="13" t="s">
        <v>114</v>
      </c>
      <c r="V36" s="9">
        <v>31</v>
      </c>
      <c r="W36" s="11">
        <v>33</v>
      </c>
      <c r="X36" s="22">
        <v>33</v>
      </c>
      <c r="Y36" s="7">
        <v>724</v>
      </c>
      <c r="Z36" s="7">
        <v>10458</v>
      </c>
      <c r="AB36" s="3" t="s">
        <v>6</v>
      </c>
      <c r="AC36" s="3">
        <v>181</v>
      </c>
      <c r="AD36" s="3">
        <v>188</v>
      </c>
      <c r="AE36" s="13" t="s">
        <v>114</v>
      </c>
      <c r="AF36" s="12">
        <v>187</v>
      </c>
      <c r="AG36" s="42">
        <v>192</v>
      </c>
      <c r="AH36" s="7">
        <v>724</v>
      </c>
      <c r="AI36" s="7">
        <v>10458</v>
      </c>
      <c r="AK36" s="3" t="s">
        <v>6</v>
      </c>
      <c r="AL36" s="3">
        <v>303</v>
      </c>
      <c r="AM36" s="3">
        <v>224</v>
      </c>
      <c r="AN36" s="3">
        <v>167</v>
      </c>
      <c r="AO36" s="11">
        <v>156</v>
      </c>
      <c r="AP36" s="22">
        <v>152</v>
      </c>
      <c r="AQ36" s="7">
        <v>724</v>
      </c>
      <c r="AR36" s="7">
        <v>10458</v>
      </c>
      <c r="AT36" s="3" t="s">
        <v>6</v>
      </c>
      <c r="AU36" s="3">
        <v>40</v>
      </c>
      <c r="AV36" s="3">
        <v>34</v>
      </c>
      <c r="AW36" s="3">
        <v>34</v>
      </c>
      <c r="AX36" s="11">
        <v>39</v>
      </c>
      <c r="AY36" s="22">
        <v>46</v>
      </c>
      <c r="AZ36" s="7">
        <v>724</v>
      </c>
      <c r="BA36" s="7">
        <v>10458</v>
      </c>
    </row>
    <row r="37" spans="1:53" ht="12.75">
      <c r="A37" s="2" t="s">
        <v>20</v>
      </c>
      <c r="B37" s="6">
        <v>1768.96</v>
      </c>
      <c r="C37" s="3">
        <v>1862.74</v>
      </c>
      <c r="D37" s="3">
        <v>1747.56</v>
      </c>
      <c r="E37" s="5">
        <v>1707.72</v>
      </c>
      <c r="F37" s="18">
        <v>1924.81</v>
      </c>
      <c r="G37" s="3">
        <v>1006.24</v>
      </c>
      <c r="H37" s="3">
        <v>423.74</v>
      </c>
      <c r="J37" s="3" t="s">
        <v>20</v>
      </c>
      <c r="K37" s="6">
        <v>806</v>
      </c>
      <c r="L37" s="6">
        <v>787</v>
      </c>
      <c r="M37" s="6">
        <v>784</v>
      </c>
      <c r="N37" s="5">
        <v>820</v>
      </c>
      <c r="O37" s="18">
        <v>728</v>
      </c>
      <c r="P37" s="3">
        <v>1006.24</v>
      </c>
      <c r="Q37" s="3">
        <v>423.74</v>
      </c>
      <c r="S37" s="3" t="s">
        <v>20</v>
      </c>
      <c r="T37" s="6">
        <v>815.48</v>
      </c>
      <c r="U37" s="3">
        <v>644.67</v>
      </c>
      <c r="V37" s="6">
        <v>637</v>
      </c>
      <c r="W37" s="5">
        <v>628.76</v>
      </c>
      <c r="X37" s="18">
        <v>587.1</v>
      </c>
      <c r="Y37" s="3">
        <v>1006.24</v>
      </c>
      <c r="Z37" s="3">
        <v>423.74</v>
      </c>
      <c r="AB37" s="3" t="s">
        <v>20</v>
      </c>
      <c r="AC37" s="6">
        <v>1521.23</v>
      </c>
      <c r="AD37" s="3">
        <v>1691.41</v>
      </c>
      <c r="AE37" s="6">
        <v>1678.52</v>
      </c>
      <c r="AF37" s="5">
        <v>2085.17</v>
      </c>
      <c r="AG37" s="18">
        <v>2040.25</v>
      </c>
      <c r="AH37" s="3">
        <v>1006.24</v>
      </c>
      <c r="AI37" s="3">
        <v>423.74</v>
      </c>
      <c r="AK37" s="3" t="s">
        <v>20</v>
      </c>
      <c r="AL37" s="6">
        <v>404.23</v>
      </c>
      <c r="AM37" s="3">
        <v>560.87</v>
      </c>
      <c r="AN37" s="6">
        <v>582.27</v>
      </c>
      <c r="AO37" s="5">
        <v>663.58</v>
      </c>
      <c r="AP37" s="18">
        <v>1113.29</v>
      </c>
      <c r="AQ37" s="3">
        <v>1006.24</v>
      </c>
      <c r="AR37" s="3">
        <v>423.74</v>
      </c>
      <c r="AT37" s="3" t="s">
        <v>20</v>
      </c>
      <c r="AU37" s="6">
        <v>328.91</v>
      </c>
      <c r="AV37" s="3">
        <v>323.68</v>
      </c>
      <c r="AW37" s="6">
        <v>270.79</v>
      </c>
      <c r="AX37" s="5">
        <v>188.49</v>
      </c>
      <c r="AY37" s="18">
        <v>148.51</v>
      </c>
      <c r="AZ37" s="3">
        <v>1006.24</v>
      </c>
      <c r="BA37" s="3">
        <v>423.74</v>
      </c>
    </row>
    <row r="38" spans="1:53" ht="12.75">
      <c r="A38" s="2" t="s">
        <v>56</v>
      </c>
      <c r="B38" s="6">
        <v>31.67</v>
      </c>
      <c r="C38" s="3">
        <v>32.76</v>
      </c>
      <c r="D38" s="4">
        <v>24.12</v>
      </c>
      <c r="E38" s="4">
        <v>29.47</v>
      </c>
      <c r="F38" s="17">
        <v>51.82</v>
      </c>
      <c r="G38" s="3">
        <v>14.61</v>
      </c>
      <c r="H38" s="3">
        <v>2.84</v>
      </c>
      <c r="J38" s="3" t="s">
        <v>56</v>
      </c>
      <c r="K38" s="6">
        <v>9</v>
      </c>
      <c r="L38" s="6">
        <v>8</v>
      </c>
      <c r="M38" s="5">
        <v>1</v>
      </c>
      <c r="N38" s="5">
        <v>-28</v>
      </c>
      <c r="O38" s="18">
        <v>-10</v>
      </c>
      <c r="P38" s="3">
        <v>14.61</v>
      </c>
      <c r="Q38" s="3">
        <v>2.84</v>
      </c>
      <c r="S38" s="3" t="s">
        <v>56</v>
      </c>
      <c r="T38" s="9">
        <v>0.14</v>
      </c>
      <c r="U38" s="6">
        <v>1.8</v>
      </c>
      <c r="V38" s="5">
        <v>2.66</v>
      </c>
      <c r="W38" s="4">
        <v>7.95</v>
      </c>
      <c r="X38" s="17">
        <v>1.64</v>
      </c>
      <c r="Y38" s="3">
        <v>14.61</v>
      </c>
      <c r="Z38" s="3">
        <v>2.84</v>
      </c>
      <c r="AB38" s="3" t="s">
        <v>56</v>
      </c>
      <c r="AC38" s="6">
        <v>15.14</v>
      </c>
      <c r="AD38" s="3">
        <v>9.75</v>
      </c>
      <c r="AE38" s="5">
        <v>9.96</v>
      </c>
      <c r="AF38" s="5">
        <v>-6.3</v>
      </c>
      <c r="AG38" s="18">
        <v>16.5</v>
      </c>
      <c r="AH38" s="3">
        <v>14.61</v>
      </c>
      <c r="AI38" s="3">
        <v>2.84</v>
      </c>
      <c r="AK38" s="3" t="s">
        <v>56</v>
      </c>
      <c r="AL38" s="6">
        <v>17.29</v>
      </c>
      <c r="AM38" s="3">
        <v>15.91</v>
      </c>
      <c r="AN38" s="5">
        <v>48.58</v>
      </c>
      <c r="AO38" s="4">
        <v>6.45</v>
      </c>
      <c r="AP38" s="18">
        <v>0.2</v>
      </c>
      <c r="AQ38" s="3">
        <v>14.61</v>
      </c>
      <c r="AR38" s="3">
        <v>2.84</v>
      </c>
      <c r="AT38" s="3" t="s">
        <v>56</v>
      </c>
      <c r="AU38" s="6">
        <v>34.42</v>
      </c>
      <c r="AV38" s="3">
        <v>85.82</v>
      </c>
      <c r="AW38" s="5">
        <v>211.4</v>
      </c>
      <c r="AX38" s="4">
        <v>160.21</v>
      </c>
      <c r="AY38" s="18">
        <v>271</v>
      </c>
      <c r="AZ38" s="3">
        <v>14.61</v>
      </c>
      <c r="BA38" s="3">
        <v>2.84</v>
      </c>
    </row>
    <row r="39" spans="1:53" ht="12.75">
      <c r="A39" s="2"/>
      <c r="B39" s="3"/>
      <c r="C39" s="3"/>
      <c r="D39" s="3"/>
      <c r="E39" s="4"/>
      <c r="F39" s="17"/>
      <c r="G39" s="3"/>
      <c r="H39" s="3"/>
      <c r="J39" s="3"/>
      <c r="K39" s="3"/>
      <c r="L39" s="3"/>
      <c r="M39" s="3"/>
      <c r="N39" s="4"/>
      <c r="O39" s="17"/>
      <c r="P39" s="3"/>
      <c r="Q39" s="3"/>
      <c r="S39" s="3"/>
      <c r="T39" s="3"/>
      <c r="U39" s="3"/>
      <c r="V39" s="3"/>
      <c r="W39" s="4"/>
      <c r="X39" s="17"/>
      <c r="Y39" s="3"/>
      <c r="Z39" s="3"/>
      <c r="AB39" s="3"/>
      <c r="AC39" s="3"/>
      <c r="AD39" s="3"/>
      <c r="AE39" s="3"/>
      <c r="AF39" s="4"/>
      <c r="AG39" s="17"/>
      <c r="AH39" s="3"/>
      <c r="AI39" s="3"/>
      <c r="AK39" s="3"/>
      <c r="AL39" s="3"/>
      <c r="AM39" s="3"/>
      <c r="AN39" s="3"/>
      <c r="AO39" s="4"/>
      <c r="AP39" s="17"/>
      <c r="AQ39" s="3"/>
      <c r="AR39" s="3"/>
      <c r="AT39" s="3"/>
      <c r="AU39" s="3"/>
      <c r="AV39" s="3"/>
      <c r="AW39" s="3"/>
      <c r="AX39" s="4"/>
      <c r="AY39" s="17"/>
      <c r="AZ39" s="3"/>
      <c r="BA39" s="3"/>
    </row>
    <row r="40" spans="1:53" ht="12.75">
      <c r="A40" s="2" t="s">
        <v>119</v>
      </c>
      <c r="B40" s="7">
        <v>608</v>
      </c>
      <c r="C40" s="7">
        <v>636</v>
      </c>
      <c r="D40" s="7">
        <v>700</v>
      </c>
      <c r="E40" s="10">
        <v>1437</v>
      </c>
      <c r="F40" s="21">
        <v>1582</v>
      </c>
      <c r="G40" s="7">
        <f>(8940+15347)/29</f>
        <v>837.4827586206897</v>
      </c>
      <c r="H40" s="7">
        <f>(25180+157847)/83</f>
        <v>2205.144578313253</v>
      </c>
      <c r="J40" s="3" t="s">
        <v>119</v>
      </c>
      <c r="K40" s="3">
        <v>87</v>
      </c>
      <c r="L40" s="3">
        <v>91</v>
      </c>
      <c r="M40" s="3">
        <v>92</v>
      </c>
      <c r="N40" s="10">
        <v>67</v>
      </c>
      <c r="O40" s="21">
        <v>61</v>
      </c>
      <c r="P40" s="7">
        <f>(8940+15347)/29</f>
        <v>837.4827586206897</v>
      </c>
      <c r="Q40" s="7">
        <f>(25180+157847)/83</f>
        <v>2205.144578313253</v>
      </c>
      <c r="S40" s="3" t="s">
        <v>119</v>
      </c>
      <c r="T40" s="3">
        <v>51</v>
      </c>
      <c r="U40" s="3">
        <v>52</v>
      </c>
      <c r="V40" s="3">
        <v>52</v>
      </c>
      <c r="W40" s="10">
        <v>54</v>
      </c>
      <c r="X40" s="21">
        <v>55</v>
      </c>
      <c r="Y40" s="7">
        <f>(8940+15347)/29</f>
        <v>837.4827586206897</v>
      </c>
      <c r="Z40" s="7">
        <f>(25180+157847)/83</f>
        <v>2205.144578313253</v>
      </c>
      <c r="AB40" s="3" t="s">
        <v>119</v>
      </c>
      <c r="AC40" s="3">
        <v>221</v>
      </c>
      <c r="AD40" s="3">
        <v>253</v>
      </c>
      <c r="AE40" s="3">
        <v>269</v>
      </c>
      <c r="AF40" s="10">
        <v>257</v>
      </c>
      <c r="AG40" s="21">
        <v>303</v>
      </c>
      <c r="AH40" s="7">
        <f>(8940+15347)/29</f>
        <v>837.4827586206897</v>
      </c>
      <c r="AI40" s="7">
        <f>(25180+157847)/83</f>
        <v>2205.144578313253</v>
      </c>
      <c r="AK40" s="3" t="s">
        <v>119</v>
      </c>
      <c r="AL40" s="3">
        <v>213</v>
      </c>
      <c r="AM40" s="3">
        <v>348</v>
      </c>
      <c r="AN40" s="3">
        <v>407</v>
      </c>
      <c r="AO40" s="10">
        <v>369</v>
      </c>
      <c r="AP40" s="21">
        <v>595</v>
      </c>
      <c r="AQ40" s="7">
        <f>(8940+15347)/29</f>
        <v>837.4827586206897</v>
      </c>
      <c r="AR40" s="7">
        <f>(25180+157847)/83</f>
        <v>2205.144578313253</v>
      </c>
      <c r="AT40" s="3" t="s">
        <v>119</v>
      </c>
      <c r="AU40" s="3">
        <v>305</v>
      </c>
      <c r="AV40" s="3">
        <v>334</v>
      </c>
      <c r="AW40" s="3">
        <v>406</v>
      </c>
      <c r="AX40" s="10">
        <v>698</v>
      </c>
      <c r="AY40" s="21">
        <v>1378</v>
      </c>
      <c r="AZ40" s="7">
        <f>(8940+15347)/29</f>
        <v>837.4827586206897</v>
      </c>
      <c r="BA40" s="7">
        <f>(25180+157847)/83</f>
        <v>2205.144578313253</v>
      </c>
    </row>
    <row r="41" spans="1:53" ht="12.75">
      <c r="A41" s="2" t="s">
        <v>7</v>
      </c>
      <c r="B41" s="3">
        <v>1906</v>
      </c>
      <c r="C41" s="3">
        <v>1545</v>
      </c>
      <c r="D41" s="4">
        <v>1976</v>
      </c>
      <c r="E41" s="4">
        <v>1993</v>
      </c>
      <c r="F41" s="17">
        <v>2106</v>
      </c>
      <c r="G41" s="7">
        <f>113746/29</f>
        <v>3922.2758620689656</v>
      </c>
      <c r="H41" s="7">
        <f>2162472/83</f>
        <v>26053.87951807229</v>
      </c>
      <c r="J41" s="3" t="s">
        <v>7</v>
      </c>
      <c r="K41" s="3">
        <v>448</v>
      </c>
      <c r="L41" s="3">
        <v>476</v>
      </c>
      <c r="M41" s="4">
        <v>433</v>
      </c>
      <c r="N41" s="4">
        <v>394</v>
      </c>
      <c r="O41" s="17">
        <v>327</v>
      </c>
      <c r="P41" s="7">
        <f>113746/29</f>
        <v>3922.2758620689656</v>
      </c>
      <c r="Q41" s="7">
        <f>2162472/83</f>
        <v>26053.87951807229</v>
      </c>
      <c r="S41" s="3" t="s">
        <v>7</v>
      </c>
      <c r="T41" s="3">
        <v>82</v>
      </c>
      <c r="U41" s="3">
        <v>85</v>
      </c>
      <c r="V41" s="4">
        <v>101</v>
      </c>
      <c r="W41" s="4">
        <v>104</v>
      </c>
      <c r="X41" s="17">
        <v>87</v>
      </c>
      <c r="Y41" s="7">
        <f>113746/29</f>
        <v>3922.2758620689656</v>
      </c>
      <c r="Z41" s="7">
        <f>2162472/83</f>
        <v>26053.87951807229</v>
      </c>
      <c r="AB41" s="3" t="s">
        <v>7</v>
      </c>
      <c r="AC41" s="3">
        <v>1845</v>
      </c>
      <c r="AD41" s="3">
        <v>1449</v>
      </c>
      <c r="AE41" s="4">
        <v>1694</v>
      </c>
      <c r="AF41" s="4">
        <v>1602</v>
      </c>
      <c r="AG41" s="17">
        <v>2355</v>
      </c>
      <c r="AH41" s="7">
        <f>113746/29</f>
        <v>3922.2758620689656</v>
      </c>
      <c r="AI41" s="7">
        <f>2162472/83</f>
        <v>26053.87951807229</v>
      </c>
      <c r="AK41" s="3" t="s">
        <v>7</v>
      </c>
      <c r="AL41" s="3">
        <v>883</v>
      </c>
      <c r="AM41" s="3">
        <v>577</v>
      </c>
      <c r="AN41" s="4">
        <v>579</v>
      </c>
      <c r="AO41" s="4">
        <v>532</v>
      </c>
      <c r="AP41" s="17">
        <v>784</v>
      </c>
      <c r="AQ41" s="7">
        <f>113746/29</f>
        <v>3922.2758620689656</v>
      </c>
      <c r="AR41" s="7">
        <f>2162472/83</f>
        <v>26053.87951807229</v>
      </c>
      <c r="AT41" s="3" t="s">
        <v>7</v>
      </c>
      <c r="AU41" s="3">
        <v>167</v>
      </c>
      <c r="AV41" s="3">
        <v>108</v>
      </c>
      <c r="AW41" s="4">
        <v>90</v>
      </c>
      <c r="AX41" s="4">
        <v>75</v>
      </c>
      <c r="AY41" s="17">
        <v>361</v>
      </c>
      <c r="AZ41" s="7">
        <f>113746/29</f>
        <v>3922.2758620689656</v>
      </c>
      <c r="BA41" s="7">
        <f>2162472/83</f>
        <v>26053.87951807229</v>
      </c>
    </row>
    <row r="42" spans="1:53" ht="12.75">
      <c r="A42" s="2" t="s">
        <v>8</v>
      </c>
      <c r="B42" s="3">
        <v>1332</v>
      </c>
      <c r="C42" s="3">
        <v>1300</v>
      </c>
      <c r="D42" s="4">
        <v>1381</v>
      </c>
      <c r="E42" s="4">
        <v>1599</v>
      </c>
      <c r="F42" s="17">
        <v>1664</v>
      </c>
      <c r="G42" s="7">
        <f>53563/29</f>
        <v>1847</v>
      </c>
      <c r="H42" s="7">
        <f>866961/83</f>
        <v>10445.313253012047</v>
      </c>
      <c r="J42" s="3" t="s">
        <v>8</v>
      </c>
      <c r="K42" s="3">
        <v>236</v>
      </c>
      <c r="L42" s="3">
        <v>255</v>
      </c>
      <c r="M42" s="4">
        <v>317</v>
      </c>
      <c r="N42" s="4">
        <v>189</v>
      </c>
      <c r="O42" s="17">
        <v>129</v>
      </c>
      <c r="P42" s="7">
        <f>53563/29</f>
        <v>1847</v>
      </c>
      <c r="Q42" s="7">
        <f>866961/83</f>
        <v>10445.313253012047</v>
      </c>
      <c r="S42" s="3" t="s">
        <v>8</v>
      </c>
      <c r="T42" s="3">
        <v>21</v>
      </c>
      <c r="U42" s="3">
        <v>23</v>
      </c>
      <c r="V42" s="4">
        <v>45</v>
      </c>
      <c r="W42" s="4">
        <v>32</v>
      </c>
      <c r="X42" s="17">
        <v>30</v>
      </c>
      <c r="Y42" s="7">
        <f>53563/29</f>
        <v>1847</v>
      </c>
      <c r="Z42" s="7">
        <f>866961/83</f>
        <v>10445.313253012047</v>
      </c>
      <c r="AB42" s="3" t="s">
        <v>8</v>
      </c>
      <c r="AC42" s="3">
        <v>725</v>
      </c>
      <c r="AD42" s="3">
        <v>653</v>
      </c>
      <c r="AE42" s="4">
        <v>772</v>
      </c>
      <c r="AF42" s="4">
        <v>895</v>
      </c>
      <c r="AG42" s="17">
        <v>981</v>
      </c>
      <c r="AH42" s="7">
        <f>53563/29</f>
        <v>1847</v>
      </c>
      <c r="AI42" s="7">
        <f>866961/83</f>
        <v>10445.313253012047</v>
      </c>
      <c r="AK42" s="3" t="s">
        <v>8</v>
      </c>
      <c r="AL42" s="3">
        <v>305</v>
      </c>
      <c r="AM42" s="3">
        <v>205</v>
      </c>
      <c r="AN42" s="4">
        <v>323</v>
      </c>
      <c r="AO42" s="4">
        <v>342</v>
      </c>
      <c r="AP42" s="17">
        <v>449</v>
      </c>
      <c r="AQ42" s="7">
        <f>53563/29</f>
        <v>1847</v>
      </c>
      <c r="AR42" s="7">
        <f>866961/83</f>
        <v>10445.313253012047</v>
      </c>
      <c r="AT42" s="3" t="s">
        <v>8</v>
      </c>
      <c r="AU42" s="3">
        <v>319</v>
      </c>
      <c r="AV42" s="3">
        <v>484</v>
      </c>
      <c r="AW42" s="4">
        <v>447</v>
      </c>
      <c r="AX42" s="4">
        <v>418</v>
      </c>
      <c r="AY42" s="17">
        <v>584</v>
      </c>
      <c r="AZ42" s="7">
        <f>53563/29</f>
        <v>1847</v>
      </c>
      <c r="BA42" s="7">
        <f>866961/83</f>
        <v>10445.313253012047</v>
      </c>
    </row>
    <row r="43" spans="1:53" ht="12.75">
      <c r="A43" s="2" t="s">
        <v>9</v>
      </c>
      <c r="B43" s="3">
        <v>2933</v>
      </c>
      <c r="C43" s="3">
        <v>3298</v>
      </c>
      <c r="D43" s="4">
        <v>3059</v>
      </c>
      <c r="E43" s="4">
        <v>3219</v>
      </c>
      <c r="F43" s="17">
        <v>3369</v>
      </c>
      <c r="G43" s="7">
        <f>97555/29</f>
        <v>3363.9655172413795</v>
      </c>
      <c r="H43" s="7">
        <f>1515667/83</f>
        <v>18261.048192771083</v>
      </c>
      <c r="J43" s="3" t="s">
        <v>9</v>
      </c>
      <c r="K43" s="3">
        <v>290</v>
      </c>
      <c r="L43" s="3">
        <v>353</v>
      </c>
      <c r="M43" s="4">
        <v>304</v>
      </c>
      <c r="N43" s="4">
        <v>264</v>
      </c>
      <c r="O43" s="17">
        <v>169</v>
      </c>
      <c r="P43" s="7">
        <f>97555/29</f>
        <v>3363.9655172413795</v>
      </c>
      <c r="Q43" s="7">
        <f>1515667/83</f>
        <v>18261.048192771083</v>
      </c>
      <c r="S43" s="3" t="s">
        <v>9</v>
      </c>
      <c r="T43" s="3">
        <v>95</v>
      </c>
      <c r="U43" s="3">
        <v>85</v>
      </c>
      <c r="V43" s="4">
        <v>63</v>
      </c>
      <c r="W43" s="4">
        <v>59</v>
      </c>
      <c r="X43" s="17">
        <v>49</v>
      </c>
      <c r="Y43" s="7">
        <f>97555/29</f>
        <v>3363.9655172413795</v>
      </c>
      <c r="Z43" s="7">
        <f>1515667/83</f>
        <v>18261.048192771083</v>
      </c>
      <c r="AB43" s="3" t="s">
        <v>9</v>
      </c>
      <c r="AC43" s="3">
        <v>1887</v>
      </c>
      <c r="AD43" s="3">
        <v>1460</v>
      </c>
      <c r="AE43" s="4">
        <v>2019</v>
      </c>
      <c r="AF43" s="4">
        <v>2053</v>
      </c>
      <c r="AG43" s="17">
        <v>2440</v>
      </c>
      <c r="AH43" s="7">
        <f>97555/29</f>
        <v>3363.9655172413795</v>
      </c>
      <c r="AI43" s="7">
        <f>1515667/83</f>
        <v>18261.048192771083</v>
      </c>
      <c r="AK43" s="3" t="s">
        <v>9</v>
      </c>
      <c r="AL43" s="3">
        <v>699</v>
      </c>
      <c r="AM43" s="3">
        <v>439</v>
      </c>
      <c r="AN43" s="4">
        <v>428</v>
      </c>
      <c r="AO43" s="4">
        <v>559</v>
      </c>
      <c r="AP43" s="17">
        <v>1034</v>
      </c>
      <c r="AQ43" s="7">
        <f>97555/29</f>
        <v>3363.9655172413795</v>
      </c>
      <c r="AR43" s="7">
        <f>1515667/83</f>
        <v>18261.048192771083</v>
      </c>
      <c r="AT43" s="3" t="s">
        <v>9</v>
      </c>
      <c r="AU43" s="3">
        <v>7</v>
      </c>
      <c r="AV43" s="3">
        <v>2</v>
      </c>
      <c r="AW43" s="4">
        <v>3</v>
      </c>
      <c r="AX43" s="4">
        <v>2</v>
      </c>
      <c r="AY43" s="17">
        <v>4</v>
      </c>
      <c r="AZ43" s="7">
        <f>97555/29</f>
        <v>3363.9655172413795</v>
      </c>
      <c r="BA43" s="7">
        <f>1515667/83</f>
        <v>18261.048192771083</v>
      </c>
    </row>
    <row r="44" spans="1:53" ht="12.75">
      <c r="A44" s="2"/>
      <c r="B44" s="3"/>
      <c r="C44" s="3"/>
      <c r="D44" s="3"/>
      <c r="E44" s="4"/>
      <c r="F44" s="17"/>
      <c r="G44" s="7"/>
      <c r="H44" s="7"/>
      <c r="J44" s="3"/>
      <c r="K44" s="3"/>
      <c r="L44" s="3"/>
      <c r="M44" s="3"/>
      <c r="N44" s="4"/>
      <c r="O44" s="17"/>
      <c r="P44" s="7"/>
      <c r="Q44" s="7"/>
      <c r="S44" s="3"/>
      <c r="T44" s="3"/>
      <c r="U44" s="3"/>
      <c r="V44" s="3"/>
      <c r="W44" s="4"/>
      <c r="X44" s="17"/>
      <c r="Y44" s="7"/>
      <c r="Z44" s="7"/>
      <c r="AB44" s="3"/>
      <c r="AC44" s="3"/>
      <c r="AD44" s="3"/>
      <c r="AE44" s="3"/>
      <c r="AF44" s="4"/>
      <c r="AG44" s="17"/>
      <c r="AH44" s="7"/>
      <c r="AI44" s="7"/>
      <c r="AK44" s="3"/>
      <c r="AL44" s="3"/>
      <c r="AM44" s="3"/>
      <c r="AN44" s="3"/>
      <c r="AO44" s="4"/>
      <c r="AP44" s="17"/>
      <c r="AQ44" s="7"/>
      <c r="AR44" s="7"/>
      <c r="AT44" s="3"/>
      <c r="AU44" s="3"/>
      <c r="AV44" s="3"/>
      <c r="AW44" s="3"/>
      <c r="AX44" s="4"/>
      <c r="AY44" s="17"/>
      <c r="AZ44" s="7"/>
      <c r="BA44" s="7"/>
    </row>
    <row r="45" spans="1:53" ht="12.75">
      <c r="A45" s="2" t="s">
        <v>10</v>
      </c>
      <c r="B45" s="4">
        <v>459</v>
      </c>
      <c r="C45" s="4">
        <v>342</v>
      </c>
      <c r="D45" s="4">
        <v>280</v>
      </c>
      <c r="E45" s="4">
        <v>257</v>
      </c>
      <c r="F45" s="17">
        <v>326</v>
      </c>
      <c r="G45" s="7">
        <v>421.8965517241379</v>
      </c>
      <c r="H45" s="7">
        <f>184377/83</f>
        <v>2221.409638554217</v>
      </c>
      <c r="J45" s="3" t="s">
        <v>10</v>
      </c>
      <c r="K45" s="4">
        <v>59</v>
      </c>
      <c r="L45" s="4">
        <v>57</v>
      </c>
      <c r="M45" s="4">
        <v>40</v>
      </c>
      <c r="N45" s="4">
        <v>34</v>
      </c>
      <c r="O45" s="17">
        <v>29</v>
      </c>
      <c r="P45" s="7">
        <v>421.8965517241379</v>
      </c>
      <c r="Q45" s="7">
        <f>184377/83</f>
        <v>2221.409638554217</v>
      </c>
      <c r="S45" s="3" t="s">
        <v>10</v>
      </c>
      <c r="T45" s="4">
        <v>14</v>
      </c>
      <c r="U45" s="4">
        <v>12</v>
      </c>
      <c r="V45" s="4">
        <v>10</v>
      </c>
      <c r="W45" s="4">
        <v>8</v>
      </c>
      <c r="X45" s="17">
        <v>10</v>
      </c>
      <c r="Y45" s="7">
        <v>421.8965517241379</v>
      </c>
      <c r="Z45" s="7">
        <f>184377/83</f>
        <v>2221.409638554217</v>
      </c>
      <c r="AB45" s="3" t="s">
        <v>10</v>
      </c>
      <c r="AC45" s="4">
        <v>255</v>
      </c>
      <c r="AD45" s="4">
        <v>226</v>
      </c>
      <c r="AE45" s="4">
        <v>141</v>
      </c>
      <c r="AF45" s="4">
        <v>159</v>
      </c>
      <c r="AG45" s="17">
        <v>175</v>
      </c>
      <c r="AH45" s="7">
        <v>421.8965517241379</v>
      </c>
      <c r="AI45" s="7">
        <f>184377/83</f>
        <v>2221.409638554217</v>
      </c>
      <c r="AK45" s="3" t="s">
        <v>10</v>
      </c>
      <c r="AL45" s="4">
        <v>111</v>
      </c>
      <c r="AM45" s="4">
        <v>106</v>
      </c>
      <c r="AN45" s="4">
        <v>78</v>
      </c>
      <c r="AO45" s="4">
        <v>57</v>
      </c>
      <c r="AP45" s="17">
        <v>79</v>
      </c>
      <c r="AQ45" s="7">
        <v>421.8965517241379</v>
      </c>
      <c r="AR45" s="7">
        <f>184377/83</f>
        <v>2221.409638554217</v>
      </c>
      <c r="AT45" s="3" t="s">
        <v>10</v>
      </c>
      <c r="AU45" s="4">
        <v>37</v>
      </c>
      <c r="AV45" s="4">
        <v>29</v>
      </c>
      <c r="AW45" s="4">
        <v>30</v>
      </c>
      <c r="AX45" s="4">
        <v>31</v>
      </c>
      <c r="AY45" s="17">
        <v>66</v>
      </c>
      <c r="AZ45" s="7">
        <v>421.8965517241379</v>
      </c>
      <c r="BA45" s="7">
        <f>184377/83</f>
        <v>2221.409638554217</v>
      </c>
    </row>
    <row r="46" spans="1:53" ht="12.75">
      <c r="A46" s="2" t="s">
        <v>11</v>
      </c>
      <c r="B46" s="4">
        <v>120</v>
      </c>
      <c r="C46" s="4">
        <v>79</v>
      </c>
      <c r="D46" s="4">
        <v>81</v>
      </c>
      <c r="E46" s="4">
        <v>119</v>
      </c>
      <c r="F46" s="17">
        <v>220</v>
      </c>
      <c r="G46" s="7">
        <f>5200/29</f>
        <v>179.31034482758622</v>
      </c>
      <c r="H46" s="7">
        <f>37693/83</f>
        <v>454.13253012048193</v>
      </c>
      <c r="J46" s="3" t="s">
        <v>11</v>
      </c>
      <c r="K46" s="4">
        <v>20</v>
      </c>
      <c r="L46" s="4">
        <v>15</v>
      </c>
      <c r="M46" s="4">
        <v>14</v>
      </c>
      <c r="N46" s="4">
        <v>2</v>
      </c>
      <c r="O46" s="17">
        <v>5</v>
      </c>
      <c r="P46" s="7">
        <f>5200/29</f>
        <v>179.31034482758622</v>
      </c>
      <c r="Q46" s="7">
        <f>37693/83</f>
        <v>454.13253012048193</v>
      </c>
      <c r="S46" s="3" t="s">
        <v>11</v>
      </c>
      <c r="T46" s="4">
        <v>4</v>
      </c>
      <c r="U46" s="4">
        <v>2</v>
      </c>
      <c r="V46" s="4">
        <v>5</v>
      </c>
      <c r="W46" s="4">
        <v>6</v>
      </c>
      <c r="X46" s="17">
        <v>4</v>
      </c>
      <c r="Y46" s="7">
        <f>5200/29</f>
        <v>179.31034482758622</v>
      </c>
      <c r="Z46" s="7">
        <f>37693/83</f>
        <v>454.13253012048193</v>
      </c>
      <c r="AB46" s="3" t="s">
        <v>11</v>
      </c>
      <c r="AC46" s="4">
        <v>36</v>
      </c>
      <c r="AD46" s="4">
        <v>40</v>
      </c>
      <c r="AE46" s="4">
        <v>49</v>
      </c>
      <c r="AF46" s="4">
        <v>52</v>
      </c>
      <c r="AG46" s="17">
        <v>58</v>
      </c>
      <c r="AH46" s="7">
        <f>5200/29</f>
        <v>179.31034482758622</v>
      </c>
      <c r="AI46" s="7">
        <f>37693/83</f>
        <v>454.13253012048193</v>
      </c>
      <c r="AK46" s="3" t="s">
        <v>11</v>
      </c>
      <c r="AL46" s="4">
        <v>42</v>
      </c>
      <c r="AM46" s="4">
        <v>29</v>
      </c>
      <c r="AN46" s="4">
        <v>79</v>
      </c>
      <c r="AO46" s="4">
        <v>57</v>
      </c>
      <c r="AP46" s="17">
        <v>36</v>
      </c>
      <c r="AQ46" s="7">
        <f>5200/29</f>
        <v>179.31034482758622</v>
      </c>
      <c r="AR46" s="7">
        <f>37693/83</f>
        <v>454.13253012048193</v>
      </c>
      <c r="AT46" s="3" t="s">
        <v>11</v>
      </c>
      <c r="AU46" s="4">
        <v>43</v>
      </c>
      <c r="AV46" s="4">
        <v>97</v>
      </c>
      <c r="AW46" s="4">
        <v>118</v>
      </c>
      <c r="AX46" s="4">
        <v>126</v>
      </c>
      <c r="AY46" s="17">
        <v>234</v>
      </c>
      <c r="AZ46" s="7">
        <f>5200/29</f>
        <v>179.31034482758622</v>
      </c>
      <c r="BA46" s="7">
        <f>37693/83</f>
        <v>454.13253012048193</v>
      </c>
    </row>
    <row r="47" spans="1:53" ht="12.75">
      <c r="A47" s="2" t="s">
        <v>12</v>
      </c>
      <c r="B47" s="4">
        <v>312</v>
      </c>
      <c r="C47" s="4">
        <v>219</v>
      </c>
      <c r="D47" s="4">
        <v>163</v>
      </c>
      <c r="E47" s="4">
        <v>128</v>
      </c>
      <c r="F47" s="17">
        <v>147</v>
      </c>
      <c r="G47" s="7">
        <f>5149/29</f>
        <v>177.55172413793105</v>
      </c>
      <c r="H47" s="7">
        <f>106836/83</f>
        <v>1287.1807228915663</v>
      </c>
      <c r="J47" s="3" t="s">
        <v>12</v>
      </c>
      <c r="K47" s="4">
        <v>51</v>
      </c>
      <c r="L47" s="4">
        <v>45</v>
      </c>
      <c r="M47" s="4">
        <v>32</v>
      </c>
      <c r="N47" s="4">
        <v>22</v>
      </c>
      <c r="O47" s="17">
        <v>20</v>
      </c>
      <c r="P47" s="7">
        <f>5149/29</f>
        <v>177.55172413793105</v>
      </c>
      <c r="Q47" s="7">
        <f>106836/83</f>
        <v>1287.1807228915663</v>
      </c>
      <c r="S47" s="3" t="s">
        <v>12</v>
      </c>
      <c r="T47" s="4">
        <v>7</v>
      </c>
      <c r="U47" s="4">
        <v>7</v>
      </c>
      <c r="V47" s="4">
        <v>6</v>
      </c>
      <c r="W47" s="4">
        <v>5</v>
      </c>
      <c r="X47" s="17">
        <v>4</v>
      </c>
      <c r="Y47" s="7">
        <f>5149/29</f>
        <v>177.55172413793105</v>
      </c>
      <c r="Z47" s="7">
        <f>106836/83</f>
        <v>1287.1807228915663</v>
      </c>
      <c r="AB47" s="3" t="s">
        <v>12</v>
      </c>
      <c r="AC47" s="4">
        <v>184</v>
      </c>
      <c r="AD47" s="4">
        <v>159</v>
      </c>
      <c r="AE47" s="4">
        <v>97</v>
      </c>
      <c r="AF47" s="4">
        <v>108</v>
      </c>
      <c r="AG47" s="17">
        <v>130</v>
      </c>
      <c r="AH47" s="7">
        <f>5149/29</f>
        <v>177.55172413793105</v>
      </c>
      <c r="AI47" s="7">
        <f>106836/83</f>
        <v>1287.1807228915663</v>
      </c>
      <c r="AK47" s="3" t="s">
        <v>12</v>
      </c>
      <c r="AL47" s="4">
        <v>50</v>
      </c>
      <c r="AM47" s="4">
        <v>49</v>
      </c>
      <c r="AN47" s="4">
        <v>21</v>
      </c>
      <c r="AO47" s="4">
        <v>16</v>
      </c>
      <c r="AP47" s="17">
        <v>30</v>
      </c>
      <c r="AQ47" s="7">
        <f>5149/29</f>
        <v>177.55172413793105</v>
      </c>
      <c r="AR47" s="7">
        <f>106836/83</f>
        <v>1287.1807228915663</v>
      </c>
      <c r="AT47" s="3" t="s">
        <v>12</v>
      </c>
      <c r="AU47" s="4">
        <v>29</v>
      </c>
      <c r="AV47" s="4">
        <v>20</v>
      </c>
      <c r="AW47" s="4">
        <v>7</v>
      </c>
      <c r="AX47" s="4">
        <v>9</v>
      </c>
      <c r="AY47" s="17">
        <v>28</v>
      </c>
      <c r="AZ47" s="7">
        <f>5149/29</f>
        <v>177.55172413793105</v>
      </c>
      <c r="BA47" s="7">
        <f>106836/83</f>
        <v>1287.1807228915663</v>
      </c>
    </row>
    <row r="48" spans="1:53" ht="12.75">
      <c r="A48" s="2" t="s">
        <v>13</v>
      </c>
      <c r="B48" s="4">
        <v>89</v>
      </c>
      <c r="C48" s="4">
        <v>70</v>
      </c>
      <c r="D48" s="4">
        <v>79</v>
      </c>
      <c r="E48" s="4">
        <v>91</v>
      </c>
      <c r="F48" s="17">
        <v>113</v>
      </c>
      <c r="G48" s="7">
        <f>5624/29</f>
        <v>193.93103448275863</v>
      </c>
      <c r="H48" s="7">
        <f>58664/83</f>
        <v>706.7951807228916</v>
      </c>
      <c r="J48" s="3" t="s">
        <v>13</v>
      </c>
      <c r="K48" s="4">
        <v>10</v>
      </c>
      <c r="L48" s="4">
        <v>12</v>
      </c>
      <c r="M48" s="4">
        <v>13</v>
      </c>
      <c r="N48" s="4">
        <v>13</v>
      </c>
      <c r="O48" s="17">
        <v>12</v>
      </c>
      <c r="P48" s="7">
        <f>5624/29</f>
        <v>193.93103448275863</v>
      </c>
      <c r="Q48" s="7">
        <f>58664/83</f>
        <v>706.7951807228916</v>
      </c>
      <c r="S48" s="3" t="s">
        <v>13</v>
      </c>
      <c r="T48" s="4">
        <v>2</v>
      </c>
      <c r="U48" s="4">
        <v>3</v>
      </c>
      <c r="V48" s="4">
        <v>3</v>
      </c>
      <c r="W48" s="4">
        <v>2</v>
      </c>
      <c r="X48" s="17">
        <v>3</v>
      </c>
      <c r="Y48" s="7">
        <f>5624/29</f>
        <v>193.93103448275863</v>
      </c>
      <c r="Z48" s="7">
        <f>58664/83</f>
        <v>706.7951807228916</v>
      </c>
      <c r="AB48" s="3" t="s">
        <v>13</v>
      </c>
      <c r="AC48" s="4">
        <v>28</v>
      </c>
      <c r="AD48" s="4">
        <v>32</v>
      </c>
      <c r="AE48" s="4">
        <v>32</v>
      </c>
      <c r="AF48" s="4">
        <v>35</v>
      </c>
      <c r="AG48" s="17">
        <v>34</v>
      </c>
      <c r="AH48" s="7">
        <f>5624/29</f>
        <v>193.93103448275863</v>
      </c>
      <c r="AI48" s="7">
        <f>58664/83</f>
        <v>706.7951807228916</v>
      </c>
      <c r="AK48" s="3" t="s">
        <v>13</v>
      </c>
      <c r="AL48" s="4">
        <v>63</v>
      </c>
      <c r="AM48" s="4">
        <v>51</v>
      </c>
      <c r="AN48" s="4">
        <v>41</v>
      </c>
      <c r="AO48" s="4">
        <v>34</v>
      </c>
      <c r="AP48" s="17">
        <v>44</v>
      </c>
      <c r="AQ48" s="7">
        <f>5624/29</f>
        <v>193.93103448275863</v>
      </c>
      <c r="AR48" s="7">
        <f>58664/83</f>
        <v>706.7951807228916</v>
      </c>
      <c r="AT48" s="3" t="s">
        <v>13</v>
      </c>
      <c r="AU48" s="4">
        <v>15</v>
      </c>
      <c r="AV48" s="4">
        <v>20</v>
      </c>
      <c r="AW48" s="4">
        <v>25</v>
      </c>
      <c r="AX48" s="4">
        <v>31</v>
      </c>
      <c r="AY48" s="17">
        <v>52</v>
      </c>
      <c r="AZ48" s="7">
        <f>5624/29</f>
        <v>193.93103448275863</v>
      </c>
      <c r="BA48" s="7">
        <f>58664/83</f>
        <v>706.7951807228916</v>
      </c>
    </row>
    <row r="49" spans="1:53" ht="12.75">
      <c r="A49" s="2"/>
      <c r="B49" s="3"/>
      <c r="C49" s="3"/>
      <c r="D49" s="3"/>
      <c r="E49" s="4"/>
      <c r="F49" s="17"/>
      <c r="G49" s="3"/>
      <c r="H49" s="3"/>
      <c r="J49" s="3"/>
      <c r="K49" s="3"/>
      <c r="L49" s="3"/>
      <c r="M49" s="3"/>
      <c r="N49" s="4"/>
      <c r="O49" s="17"/>
      <c r="P49" s="3"/>
      <c r="Q49" s="3"/>
      <c r="S49" s="3"/>
      <c r="T49" s="3"/>
      <c r="U49" s="3"/>
      <c r="V49" s="3"/>
      <c r="W49" s="4"/>
      <c r="X49" s="17"/>
      <c r="Y49" s="3"/>
      <c r="Z49" s="3"/>
      <c r="AB49" s="3"/>
      <c r="AC49" s="3"/>
      <c r="AD49" s="3"/>
      <c r="AE49" s="3"/>
      <c r="AF49" s="4"/>
      <c r="AG49" s="17"/>
      <c r="AH49" s="3"/>
      <c r="AI49" s="3"/>
      <c r="AK49" s="3"/>
      <c r="AL49" s="3"/>
      <c r="AM49" s="3"/>
      <c r="AN49" s="3"/>
      <c r="AO49" s="4"/>
      <c r="AP49" s="17"/>
      <c r="AQ49" s="3"/>
      <c r="AR49" s="3"/>
      <c r="AT49" s="3"/>
      <c r="AU49" s="3"/>
      <c r="AV49" s="3"/>
      <c r="AW49" s="3"/>
      <c r="AX49" s="4"/>
      <c r="AY49" s="17"/>
      <c r="AZ49" s="3"/>
      <c r="BA49" s="3"/>
    </row>
    <row r="50" spans="1:53" ht="12.75">
      <c r="A50" s="2" t="s">
        <v>14</v>
      </c>
      <c r="B50" s="5">
        <v>7.06</v>
      </c>
      <c r="C50" s="4">
        <v>5.51</v>
      </c>
      <c r="D50" s="4">
        <v>3.97</v>
      </c>
      <c r="E50" s="4">
        <v>3.24</v>
      </c>
      <c r="F50" s="17">
        <v>3.73</v>
      </c>
      <c r="G50" s="4">
        <v>3.61</v>
      </c>
      <c r="H50" s="4">
        <v>4.35</v>
      </c>
      <c r="J50" s="3" t="s">
        <v>14</v>
      </c>
      <c r="K50" s="5">
        <v>8.51</v>
      </c>
      <c r="L50" s="4">
        <v>7.22</v>
      </c>
      <c r="M50" s="4">
        <v>5.52</v>
      </c>
      <c r="N50" s="5">
        <v>3.9</v>
      </c>
      <c r="O50" s="17">
        <v>4.35</v>
      </c>
      <c r="P50" s="4">
        <v>3.61</v>
      </c>
      <c r="Q50" s="4">
        <v>4.35</v>
      </c>
      <c r="S50" s="3" t="s">
        <v>14</v>
      </c>
      <c r="T50" s="5">
        <v>7.38</v>
      </c>
      <c r="U50" s="4">
        <v>6.32</v>
      </c>
      <c r="V50" s="4">
        <v>5.07</v>
      </c>
      <c r="W50" s="4">
        <v>4.49</v>
      </c>
      <c r="X50" s="17">
        <v>3.98</v>
      </c>
      <c r="Y50" s="4">
        <v>3.61</v>
      </c>
      <c r="Z50" s="4">
        <v>4.35</v>
      </c>
      <c r="AB50" s="3" t="s">
        <v>14</v>
      </c>
      <c r="AC50" s="5">
        <v>8</v>
      </c>
      <c r="AD50" s="5">
        <v>6.9</v>
      </c>
      <c r="AE50" s="4">
        <v>4.09</v>
      </c>
      <c r="AF50" s="4">
        <v>3.71</v>
      </c>
      <c r="AG50" s="17">
        <v>4.22</v>
      </c>
      <c r="AH50" s="4">
        <v>3.61</v>
      </c>
      <c r="AI50" s="4">
        <v>4.35</v>
      </c>
      <c r="AK50" s="3" t="s">
        <v>14</v>
      </c>
      <c r="AL50" s="5">
        <v>6.02</v>
      </c>
      <c r="AM50" s="4">
        <v>5.78</v>
      </c>
      <c r="AN50" s="4">
        <v>2.63</v>
      </c>
      <c r="AO50" s="4">
        <v>1.74</v>
      </c>
      <c r="AP50" s="17">
        <v>2.74</v>
      </c>
      <c r="AQ50" s="4">
        <v>3.61</v>
      </c>
      <c r="AR50" s="4">
        <v>4.35</v>
      </c>
      <c r="AT50" s="3" t="s">
        <v>14</v>
      </c>
      <c r="AU50" s="5">
        <v>6.51</v>
      </c>
      <c r="AV50" s="4">
        <v>4.81</v>
      </c>
      <c r="AW50" s="4">
        <v>2.57</v>
      </c>
      <c r="AX50" s="4">
        <v>3.64</v>
      </c>
      <c r="AY50" s="17">
        <v>6.7</v>
      </c>
      <c r="AZ50" s="4">
        <v>3.61</v>
      </c>
      <c r="BA50" s="4">
        <v>4.35</v>
      </c>
    </row>
    <row r="51" spans="1:53" ht="12.75">
      <c r="A51" s="2" t="s">
        <v>18</v>
      </c>
      <c r="B51" s="4">
        <v>2.62</v>
      </c>
      <c r="C51" s="5">
        <v>1.89</v>
      </c>
      <c r="D51" s="6">
        <v>1.17</v>
      </c>
      <c r="E51" s="4">
        <v>1.65</v>
      </c>
      <c r="F51" s="17">
        <v>2.42</v>
      </c>
      <c r="G51" s="4">
        <v>4.93</v>
      </c>
      <c r="H51" s="4">
        <v>3.79</v>
      </c>
      <c r="J51" s="3" t="s">
        <v>18</v>
      </c>
      <c r="K51" s="4">
        <v>3.13</v>
      </c>
      <c r="L51" s="5">
        <v>3.28</v>
      </c>
      <c r="M51" s="6">
        <v>0.8</v>
      </c>
      <c r="N51" s="4">
        <v>1.86</v>
      </c>
      <c r="O51" s="17">
        <v>3.54</v>
      </c>
      <c r="P51" s="4">
        <v>4.93</v>
      </c>
      <c r="Q51" s="4">
        <v>3.79</v>
      </c>
      <c r="S51" s="3" t="s">
        <v>18</v>
      </c>
      <c r="T51" s="4">
        <v>4.59</v>
      </c>
      <c r="U51" s="5">
        <v>3.81</v>
      </c>
      <c r="V51" s="6">
        <v>5.85</v>
      </c>
      <c r="W51" s="4">
        <v>4.52</v>
      </c>
      <c r="X51" s="17">
        <v>5.34</v>
      </c>
      <c r="Y51" s="4">
        <v>4.93</v>
      </c>
      <c r="Z51" s="4">
        <v>3.79</v>
      </c>
      <c r="AB51" s="3" t="s">
        <v>18</v>
      </c>
      <c r="AC51" s="5">
        <v>3</v>
      </c>
      <c r="AD51" s="5">
        <v>2.61</v>
      </c>
      <c r="AE51" s="6">
        <v>0.79</v>
      </c>
      <c r="AF51" s="4">
        <v>1.32</v>
      </c>
      <c r="AG51" s="17">
        <v>1.18</v>
      </c>
      <c r="AH51" s="4">
        <v>4.93</v>
      </c>
      <c r="AI51" s="4">
        <v>3.79</v>
      </c>
      <c r="AK51" s="3" t="s">
        <v>18</v>
      </c>
      <c r="AL51" s="4">
        <v>4.89</v>
      </c>
      <c r="AM51" s="5">
        <v>3.56</v>
      </c>
      <c r="AN51" s="6">
        <v>5.56</v>
      </c>
      <c r="AO51" s="4">
        <v>4.18</v>
      </c>
      <c r="AP51" s="17">
        <v>3.16</v>
      </c>
      <c r="AQ51" s="4">
        <v>4.93</v>
      </c>
      <c r="AR51" s="4">
        <v>3.79</v>
      </c>
      <c r="AT51" s="3" t="s">
        <v>18</v>
      </c>
      <c r="AU51" s="4">
        <v>9.72</v>
      </c>
      <c r="AV51" s="5">
        <v>-1.12</v>
      </c>
      <c r="AW51" s="6">
        <v>2.47</v>
      </c>
      <c r="AX51" s="4">
        <v>19.97</v>
      </c>
      <c r="AY51" s="17">
        <v>13.08</v>
      </c>
      <c r="AZ51" s="4">
        <v>4.93</v>
      </c>
      <c r="BA51" s="4">
        <v>3.79</v>
      </c>
    </row>
    <row r="52" spans="1:53" ht="12.75">
      <c r="A52" s="2" t="s">
        <v>54</v>
      </c>
      <c r="B52" s="4">
        <v>9.63</v>
      </c>
      <c r="C52" s="4">
        <v>8.69</v>
      </c>
      <c r="D52" s="4">
        <v>13.82</v>
      </c>
      <c r="E52" s="5">
        <v>19.85</v>
      </c>
      <c r="F52" s="18">
        <v>21.31</v>
      </c>
      <c r="G52" s="4">
        <v>18.35</v>
      </c>
      <c r="H52" s="4">
        <v>20.17</v>
      </c>
      <c r="J52" s="3" t="s">
        <v>54</v>
      </c>
      <c r="K52" s="4">
        <v>7.14</v>
      </c>
      <c r="L52" s="4">
        <v>8.89</v>
      </c>
      <c r="M52" s="4">
        <v>11.63</v>
      </c>
      <c r="N52" s="5">
        <v>14.5</v>
      </c>
      <c r="O52" s="18">
        <v>15.79</v>
      </c>
      <c r="P52" s="4">
        <v>18.35</v>
      </c>
      <c r="Q52" s="4">
        <v>20.17</v>
      </c>
      <c r="S52" s="3" t="s">
        <v>54</v>
      </c>
      <c r="T52" s="4">
        <v>8.02</v>
      </c>
      <c r="U52" s="4">
        <v>7.36</v>
      </c>
      <c r="V52" s="4">
        <v>7.14</v>
      </c>
      <c r="W52" s="5">
        <v>10.3</v>
      </c>
      <c r="X52" s="18">
        <v>13.99</v>
      </c>
      <c r="Y52" s="4">
        <v>18.35</v>
      </c>
      <c r="Z52" s="4">
        <v>20.17</v>
      </c>
      <c r="AB52" s="3" t="s">
        <v>54</v>
      </c>
      <c r="AC52" s="4">
        <v>3.95</v>
      </c>
      <c r="AD52" s="4">
        <v>5.25</v>
      </c>
      <c r="AE52" s="4">
        <v>9.16</v>
      </c>
      <c r="AF52" s="5">
        <v>9.17</v>
      </c>
      <c r="AG52" s="18">
        <v>8.21</v>
      </c>
      <c r="AH52" s="4">
        <v>18.35</v>
      </c>
      <c r="AI52" s="4">
        <v>20.17</v>
      </c>
      <c r="AK52" s="3" t="s">
        <v>54</v>
      </c>
      <c r="AL52" s="4">
        <v>16.91</v>
      </c>
      <c r="AM52" s="4">
        <v>32.79</v>
      </c>
      <c r="AN52" s="4">
        <v>39.88</v>
      </c>
      <c r="AO52" s="5">
        <v>29.89</v>
      </c>
      <c r="AP52" s="18">
        <v>35.1</v>
      </c>
      <c r="AQ52" s="4">
        <v>18.35</v>
      </c>
      <c r="AR52" s="4">
        <v>20.17</v>
      </c>
      <c r="AT52" s="3" t="s">
        <v>54</v>
      </c>
      <c r="AU52" s="4">
        <v>18.56</v>
      </c>
      <c r="AV52" s="4">
        <v>26.11</v>
      </c>
      <c r="AW52" s="4">
        <v>58.65</v>
      </c>
      <c r="AX52" s="5">
        <v>45.64</v>
      </c>
      <c r="AY52" s="18">
        <v>42.58</v>
      </c>
      <c r="AZ52" s="4">
        <v>18.35</v>
      </c>
      <c r="BA52" s="4">
        <v>20.17</v>
      </c>
    </row>
    <row r="53" spans="1:53" ht="12.75">
      <c r="A53" s="2"/>
      <c r="B53" s="3"/>
      <c r="C53" s="3"/>
      <c r="D53" s="3"/>
      <c r="E53" s="4"/>
      <c r="F53" s="17"/>
      <c r="G53" s="3"/>
      <c r="H53" s="3"/>
      <c r="J53" s="3"/>
      <c r="K53" s="3"/>
      <c r="L53" s="3"/>
      <c r="M53" s="3"/>
      <c r="N53" s="4"/>
      <c r="O53" s="17"/>
      <c r="P53" s="3"/>
      <c r="Q53" s="3"/>
      <c r="S53" s="3"/>
      <c r="T53" s="3"/>
      <c r="U53" s="3"/>
      <c r="V53" s="3"/>
      <c r="W53" s="4"/>
      <c r="X53" s="17"/>
      <c r="Y53" s="3"/>
      <c r="Z53" s="3"/>
      <c r="AB53" s="3"/>
      <c r="AC53" s="3"/>
      <c r="AD53" s="3"/>
      <c r="AE53" s="3"/>
      <c r="AF53" s="4"/>
      <c r="AG53" s="17"/>
      <c r="AH53" s="3"/>
      <c r="AI53" s="3"/>
      <c r="AK53" s="3"/>
      <c r="AL53" s="3"/>
      <c r="AM53" s="3"/>
      <c r="AN53" s="3"/>
      <c r="AO53" s="4"/>
      <c r="AP53" s="17"/>
      <c r="AQ53" s="3"/>
      <c r="AR53" s="3"/>
      <c r="AT53" s="3"/>
      <c r="AU53" s="3"/>
      <c r="AV53" s="3"/>
      <c r="AW53" s="3"/>
      <c r="AX53" s="4"/>
      <c r="AY53" s="17"/>
      <c r="AZ53" s="3"/>
      <c r="BA53" s="3"/>
    </row>
    <row r="54" spans="1:53" ht="12.75">
      <c r="A54" s="2" t="s">
        <v>15</v>
      </c>
      <c r="B54" s="4">
        <v>1.68</v>
      </c>
      <c r="C54" s="5">
        <v>1.73</v>
      </c>
      <c r="D54" s="4">
        <v>1.26</v>
      </c>
      <c r="E54" s="4">
        <v>1.46</v>
      </c>
      <c r="F54" s="17">
        <v>2.41</v>
      </c>
      <c r="G54" s="4">
        <v>2.09</v>
      </c>
      <c r="H54" s="5">
        <v>1</v>
      </c>
      <c r="J54" s="3" t="s">
        <v>15</v>
      </c>
      <c r="K54" s="4">
        <v>1.32</v>
      </c>
      <c r="L54" s="5">
        <v>1.06</v>
      </c>
      <c r="M54" s="4">
        <v>0.12</v>
      </c>
      <c r="N54" s="4">
        <v>-3.52</v>
      </c>
      <c r="O54" s="17">
        <v>-1.32</v>
      </c>
      <c r="P54" s="4">
        <v>2.09</v>
      </c>
      <c r="Q54" s="5">
        <v>1</v>
      </c>
      <c r="S54" s="3" t="s">
        <v>15</v>
      </c>
      <c r="T54" s="4">
        <v>0.02</v>
      </c>
      <c r="U54" s="5">
        <v>0.27</v>
      </c>
      <c r="V54" s="4">
        <v>0.36</v>
      </c>
      <c r="W54" s="4">
        <v>1.19</v>
      </c>
      <c r="X54" s="17">
        <v>0.25</v>
      </c>
      <c r="Y54" s="4">
        <v>2.09</v>
      </c>
      <c r="Z54" s="5">
        <v>1</v>
      </c>
      <c r="AB54" s="3" t="s">
        <v>15</v>
      </c>
      <c r="AC54" s="5">
        <v>1.1</v>
      </c>
      <c r="AD54" s="5">
        <v>0.66</v>
      </c>
      <c r="AE54" s="4">
        <v>0.64</v>
      </c>
      <c r="AF54" s="4">
        <v>-0.35</v>
      </c>
      <c r="AG54" s="17">
        <v>0.83</v>
      </c>
      <c r="AH54" s="4">
        <v>2.09</v>
      </c>
      <c r="AI54" s="5">
        <v>1</v>
      </c>
      <c r="AK54" s="3" t="s">
        <v>15</v>
      </c>
      <c r="AL54" s="4">
        <v>4.08</v>
      </c>
      <c r="AM54" s="5">
        <v>3.27</v>
      </c>
      <c r="AN54" s="4">
        <v>6.96</v>
      </c>
      <c r="AO54" s="4">
        <v>0.93</v>
      </c>
      <c r="AP54" s="17">
        <v>0.02</v>
      </c>
      <c r="AQ54" s="4">
        <v>2.09</v>
      </c>
      <c r="AR54" s="5">
        <v>1</v>
      </c>
      <c r="AT54" s="3" t="s">
        <v>15</v>
      </c>
      <c r="AU54" s="4">
        <v>1.78</v>
      </c>
      <c r="AV54" s="5">
        <v>3.95</v>
      </c>
      <c r="AW54" s="5">
        <v>5.2</v>
      </c>
      <c r="AX54" s="4">
        <v>3.29</v>
      </c>
      <c r="AY54" s="17">
        <v>9.64</v>
      </c>
      <c r="AZ54" s="4">
        <v>2.09</v>
      </c>
      <c r="BA54" s="5">
        <v>1</v>
      </c>
    </row>
    <row r="55" spans="1:53" ht="12.75">
      <c r="A55" s="2" t="s">
        <v>16</v>
      </c>
      <c r="B55" s="4">
        <v>21.07</v>
      </c>
      <c r="C55" s="5">
        <v>21.08</v>
      </c>
      <c r="D55" s="4">
        <v>22.92</v>
      </c>
      <c r="E55" s="4">
        <v>30.07</v>
      </c>
      <c r="F55" s="17">
        <v>23.41</v>
      </c>
      <c r="G55" s="4">
        <v>12.58</v>
      </c>
      <c r="H55" s="6">
        <v>12.24</v>
      </c>
      <c r="J55" s="3" t="s">
        <v>16</v>
      </c>
      <c r="K55" s="4">
        <v>17.03</v>
      </c>
      <c r="L55" s="5">
        <v>17.19</v>
      </c>
      <c r="M55" s="4">
        <v>19.99</v>
      </c>
      <c r="N55" s="4">
        <v>11.66</v>
      </c>
      <c r="O55" s="17">
        <v>20.01</v>
      </c>
      <c r="P55" s="4">
        <v>12.58</v>
      </c>
      <c r="Q55" s="6">
        <v>12.24</v>
      </c>
      <c r="S55" s="3" t="s">
        <v>16</v>
      </c>
      <c r="T55" s="4">
        <v>30.94</v>
      </c>
      <c r="U55" s="5">
        <v>32.29</v>
      </c>
      <c r="V55" s="4">
        <v>45.26</v>
      </c>
      <c r="W55" s="4">
        <v>49.4</v>
      </c>
      <c r="X55" s="17">
        <v>56.37</v>
      </c>
      <c r="Y55" s="4">
        <v>12.58</v>
      </c>
      <c r="Z55" s="6">
        <v>12.24</v>
      </c>
      <c r="AB55" s="3" t="s">
        <v>16</v>
      </c>
      <c r="AC55" s="5">
        <v>10.12</v>
      </c>
      <c r="AD55" s="5">
        <v>13.38</v>
      </c>
      <c r="AE55" s="4">
        <v>13.78</v>
      </c>
      <c r="AF55" s="4">
        <v>15.27</v>
      </c>
      <c r="AG55" s="17">
        <v>13.71</v>
      </c>
      <c r="AH55" s="4">
        <v>12.58</v>
      </c>
      <c r="AI55" s="6">
        <v>12.24</v>
      </c>
      <c r="AK55" s="3" t="s">
        <v>16</v>
      </c>
      <c r="AL55" s="4">
        <v>15.36</v>
      </c>
      <c r="AM55" s="5">
        <v>30.4</v>
      </c>
      <c r="AN55" s="4">
        <v>32.78</v>
      </c>
      <c r="AO55" s="5">
        <v>32.1</v>
      </c>
      <c r="AP55" s="17">
        <v>33.38</v>
      </c>
      <c r="AQ55" s="4">
        <v>12.58</v>
      </c>
      <c r="AR55" s="6">
        <v>12.24</v>
      </c>
      <c r="AT55" s="3" t="s">
        <v>16</v>
      </c>
      <c r="AU55" s="4">
        <v>63.56</v>
      </c>
      <c r="AV55" s="5">
        <v>45.68</v>
      </c>
      <c r="AW55" s="4">
        <v>37.16</v>
      </c>
      <c r="AX55" s="4">
        <v>20.85</v>
      </c>
      <c r="AY55" s="17">
        <v>22.92</v>
      </c>
      <c r="AZ55" s="4">
        <v>12.58</v>
      </c>
      <c r="BA55" s="6">
        <v>12.24</v>
      </c>
    </row>
    <row r="56" spans="1:53" ht="12.75">
      <c r="A56" s="2" t="s">
        <v>17</v>
      </c>
      <c r="B56" s="6">
        <v>0.8</v>
      </c>
      <c r="C56" s="4">
        <v>0.05</v>
      </c>
      <c r="D56" s="6">
        <v>0</v>
      </c>
      <c r="E56" s="5">
        <v>0</v>
      </c>
      <c r="F56" s="18">
        <v>0</v>
      </c>
      <c r="G56" s="4">
        <v>0.78</v>
      </c>
      <c r="H56" s="4">
        <v>1.22</v>
      </c>
      <c r="J56" s="3" t="s">
        <v>17</v>
      </c>
      <c r="K56" s="6">
        <v>11.4</v>
      </c>
      <c r="L56" s="6">
        <v>11.26</v>
      </c>
      <c r="M56" s="3">
        <v>17.73</v>
      </c>
      <c r="N56" s="4">
        <v>5.53</v>
      </c>
      <c r="O56" s="17">
        <v>1.29</v>
      </c>
      <c r="P56" s="4">
        <v>0.78</v>
      </c>
      <c r="Q56" s="4">
        <v>1.22</v>
      </c>
      <c r="S56" s="3" t="s">
        <v>17</v>
      </c>
      <c r="T56" s="3">
        <v>23.88</v>
      </c>
      <c r="U56" s="3">
        <v>25.98</v>
      </c>
      <c r="V56" s="3">
        <v>21.85</v>
      </c>
      <c r="W56" s="4">
        <v>13.76</v>
      </c>
      <c r="X56" s="17">
        <v>23.74</v>
      </c>
      <c r="Y56" s="4">
        <v>0.78</v>
      </c>
      <c r="Z56" s="4">
        <v>1.22</v>
      </c>
      <c r="AB56" s="3" t="s">
        <v>17</v>
      </c>
      <c r="AC56" s="3">
        <v>2.72</v>
      </c>
      <c r="AD56" s="3">
        <v>8.64</v>
      </c>
      <c r="AE56" s="3">
        <v>9.07</v>
      </c>
      <c r="AF56" s="4">
        <v>3.08</v>
      </c>
      <c r="AG56" s="18">
        <v>1</v>
      </c>
      <c r="AH56" s="4">
        <v>0.78</v>
      </c>
      <c r="AI56" s="4">
        <v>1.22</v>
      </c>
      <c r="AK56" s="3" t="s">
        <v>17</v>
      </c>
      <c r="AL56" s="31">
        <v>0</v>
      </c>
      <c r="AM56" s="3">
        <v>0.07</v>
      </c>
      <c r="AN56" s="6">
        <v>0.1</v>
      </c>
      <c r="AO56" s="4">
        <v>0.01</v>
      </c>
      <c r="AP56" s="18">
        <v>0</v>
      </c>
      <c r="AQ56" s="4">
        <v>0.78</v>
      </c>
      <c r="AR56" s="4">
        <v>1.22</v>
      </c>
      <c r="AT56" s="3" t="s">
        <v>17</v>
      </c>
      <c r="AU56" s="3">
        <v>36.04</v>
      </c>
      <c r="AV56" s="35">
        <v>0</v>
      </c>
      <c r="AW56" s="6">
        <v>0</v>
      </c>
      <c r="AX56" s="5">
        <v>0</v>
      </c>
      <c r="AY56" s="18">
        <v>0</v>
      </c>
      <c r="AZ56" s="4">
        <v>0.78</v>
      </c>
      <c r="BA56" s="4">
        <v>1.22</v>
      </c>
    </row>
    <row r="57" spans="1:53" ht="12.75">
      <c r="A57" s="3"/>
      <c r="B57" s="3"/>
      <c r="C57" s="3"/>
      <c r="D57" s="3"/>
      <c r="E57" s="3"/>
      <c r="F57" s="3"/>
      <c r="G57" s="3"/>
      <c r="H57" s="3"/>
      <c r="J57" s="3"/>
      <c r="K57" s="3"/>
      <c r="L57" s="3"/>
      <c r="M57" s="3"/>
      <c r="N57" s="4"/>
      <c r="O57" s="4"/>
      <c r="P57" s="3"/>
      <c r="Q57" s="3"/>
      <c r="S57" s="3"/>
      <c r="T57" s="3"/>
      <c r="U57" s="3"/>
      <c r="V57" s="3"/>
      <c r="W57" s="3"/>
      <c r="X57" s="3"/>
      <c r="Y57" s="3"/>
      <c r="Z57" s="3"/>
      <c r="AB57" s="3"/>
      <c r="AC57" s="3"/>
      <c r="AD57" s="3"/>
      <c r="AE57" s="3"/>
      <c r="AF57" s="3"/>
      <c r="AG57" s="3"/>
      <c r="AH57" s="3"/>
      <c r="AI57" s="3"/>
      <c r="AK57" s="3"/>
      <c r="AL57" s="3"/>
      <c r="AM57" s="3"/>
      <c r="AN57" s="3"/>
      <c r="AO57" s="3"/>
      <c r="AP57" s="3"/>
      <c r="AQ57" s="3"/>
      <c r="AR57" s="3"/>
      <c r="AT57" s="3"/>
      <c r="AU57" s="3"/>
      <c r="AV57" s="3"/>
      <c r="AW57" s="3"/>
      <c r="AX57" s="3"/>
      <c r="AY57" s="3"/>
      <c r="AZ57" s="3"/>
      <c r="BA57" s="3"/>
    </row>
    <row r="59" spans="1:53" ht="12.75">
      <c r="A59" s="26" t="s">
        <v>29</v>
      </c>
      <c r="B59" s="27"/>
      <c r="C59" s="27"/>
      <c r="D59" s="27"/>
      <c r="E59" s="27"/>
      <c r="F59" s="27"/>
      <c r="G59" s="27"/>
      <c r="H59" s="26" t="s">
        <v>36</v>
      </c>
      <c r="J59" s="26" t="s">
        <v>29</v>
      </c>
      <c r="K59" s="27"/>
      <c r="L59" s="27"/>
      <c r="M59" s="27"/>
      <c r="N59" s="27"/>
      <c r="O59" s="27"/>
      <c r="P59" s="27"/>
      <c r="Q59" s="26" t="s">
        <v>38</v>
      </c>
      <c r="S59" s="26" t="s">
        <v>29</v>
      </c>
      <c r="T59" s="27"/>
      <c r="U59" s="27"/>
      <c r="V59" s="27"/>
      <c r="W59" s="27"/>
      <c r="X59" s="27"/>
      <c r="Y59" s="26" t="s">
        <v>37</v>
      </c>
      <c r="Z59" s="27"/>
      <c r="AB59" s="26" t="s">
        <v>29</v>
      </c>
      <c r="AC59" s="27"/>
      <c r="AD59" s="27"/>
      <c r="AE59" s="27"/>
      <c r="AF59" s="27"/>
      <c r="AG59" s="27"/>
      <c r="AH59" s="26" t="s">
        <v>83</v>
      </c>
      <c r="AI59" s="27"/>
      <c r="AK59" s="26" t="s">
        <v>29</v>
      </c>
      <c r="AL59" s="27"/>
      <c r="AM59" s="27"/>
      <c r="AN59" s="27"/>
      <c r="AO59" s="27"/>
      <c r="AP59" s="27"/>
      <c r="AQ59" s="27"/>
      <c r="AR59" s="26" t="s">
        <v>84</v>
      </c>
      <c r="AT59" s="23"/>
      <c r="AU59" s="4"/>
      <c r="AV59" s="4"/>
      <c r="AW59" s="4"/>
      <c r="AX59" s="4"/>
      <c r="AY59" s="4"/>
      <c r="AZ59" s="4"/>
      <c r="BA59" s="23"/>
    </row>
    <row r="60" spans="1:53" ht="12.75">
      <c r="A60" s="3"/>
      <c r="B60" s="3"/>
      <c r="C60" s="3"/>
      <c r="D60" s="3"/>
      <c r="E60" s="3"/>
      <c r="F60" s="3"/>
      <c r="G60" s="34"/>
      <c r="H60" s="36" t="s">
        <v>19</v>
      </c>
      <c r="J60" s="3"/>
      <c r="K60" s="3"/>
      <c r="L60" s="3"/>
      <c r="M60" s="3"/>
      <c r="N60" s="3"/>
      <c r="O60" s="3"/>
      <c r="P60" s="34"/>
      <c r="Q60" s="36" t="s">
        <v>19</v>
      </c>
      <c r="S60" s="3"/>
      <c r="T60" s="3"/>
      <c r="U60" s="3"/>
      <c r="V60" s="3"/>
      <c r="W60" s="3"/>
      <c r="X60" s="3"/>
      <c r="Y60" s="34"/>
      <c r="Z60" s="36" t="s">
        <v>19</v>
      </c>
      <c r="AB60" s="3"/>
      <c r="AC60" s="3"/>
      <c r="AD60" s="3"/>
      <c r="AE60" s="3"/>
      <c r="AF60" s="3"/>
      <c r="AG60" s="3"/>
      <c r="AH60" s="34"/>
      <c r="AI60" s="36" t="s">
        <v>19</v>
      </c>
      <c r="AK60" s="3"/>
      <c r="AL60" s="3"/>
      <c r="AM60" s="3"/>
      <c r="AN60" s="3"/>
      <c r="AO60" s="3"/>
      <c r="AP60" s="3"/>
      <c r="AQ60" s="34"/>
      <c r="AR60" s="36" t="s">
        <v>19</v>
      </c>
      <c r="AT60" s="4"/>
      <c r="AU60" s="4"/>
      <c r="AV60" s="4"/>
      <c r="AW60" s="4"/>
      <c r="AX60" s="4"/>
      <c r="AY60" s="4"/>
      <c r="AZ60" s="24"/>
      <c r="BA60" s="36"/>
    </row>
    <row r="61" spans="1:53" ht="12.75">
      <c r="A61" s="32" t="s">
        <v>4</v>
      </c>
      <c r="B61" s="17" t="s">
        <v>0</v>
      </c>
      <c r="C61" s="17" t="s">
        <v>1</v>
      </c>
      <c r="D61" s="17" t="s">
        <v>2</v>
      </c>
      <c r="E61" s="17" t="s">
        <v>3</v>
      </c>
      <c r="F61" s="17" t="s">
        <v>117</v>
      </c>
      <c r="G61" s="17" t="s">
        <v>53</v>
      </c>
      <c r="H61" s="17" t="s">
        <v>111</v>
      </c>
      <c r="J61" s="17" t="s">
        <v>4</v>
      </c>
      <c r="K61" s="17" t="s">
        <v>0</v>
      </c>
      <c r="L61" s="17" t="s">
        <v>1</v>
      </c>
      <c r="M61" s="17" t="s">
        <v>2</v>
      </c>
      <c r="N61" s="17" t="s">
        <v>3</v>
      </c>
      <c r="O61" s="17" t="s">
        <v>117</v>
      </c>
      <c r="P61" s="17" t="s">
        <v>53</v>
      </c>
      <c r="Q61" s="17" t="s">
        <v>111</v>
      </c>
      <c r="S61" s="17" t="s">
        <v>4</v>
      </c>
      <c r="T61" s="17" t="s">
        <v>0</v>
      </c>
      <c r="U61" s="17" t="s">
        <v>1</v>
      </c>
      <c r="V61" s="17" t="s">
        <v>2</v>
      </c>
      <c r="W61" s="17" t="s">
        <v>3</v>
      </c>
      <c r="X61" s="17" t="s">
        <v>117</v>
      </c>
      <c r="Y61" s="17" t="s">
        <v>53</v>
      </c>
      <c r="Z61" s="17" t="s">
        <v>111</v>
      </c>
      <c r="AB61" s="17" t="s">
        <v>4</v>
      </c>
      <c r="AC61" s="17" t="s">
        <v>0</v>
      </c>
      <c r="AD61" s="17" t="s">
        <v>1</v>
      </c>
      <c r="AE61" s="17" t="s">
        <v>2</v>
      </c>
      <c r="AF61" s="17" t="s">
        <v>3</v>
      </c>
      <c r="AG61" s="17" t="s">
        <v>117</v>
      </c>
      <c r="AH61" s="17" t="s">
        <v>53</v>
      </c>
      <c r="AI61" s="17" t="s">
        <v>111</v>
      </c>
      <c r="AK61" s="17" t="s">
        <v>4</v>
      </c>
      <c r="AL61" s="17" t="s">
        <v>0</v>
      </c>
      <c r="AM61" s="17" t="s">
        <v>1</v>
      </c>
      <c r="AN61" s="17" t="s">
        <v>2</v>
      </c>
      <c r="AO61" s="17" t="s">
        <v>3</v>
      </c>
      <c r="AP61" s="17" t="s">
        <v>117</v>
      </c>
      <c r="AQ61" s="17" t="s">
        <v>53</v>
      </c>
      <c r="AR61" s="17" t="s">
        <v>111</v>
      </c>
      <c r="AT61" s="4"/>
      <c r="AU61" s="4"/>
      <c r="AV61" s="4"/>
      <c r="AW61" s="4"/>
      <c r="AX61" s="4"/>
      <c r="AY61" s="4"/>
      <c r="AZ61" s="4"/>
      <c r="BA61" s="4"/>
    </row>
    <row r="62" spans="1:53" ht="12.75">
      <c r="A62" s="32"/>
      <c r="B62" s="17"/>
      <c r="C62" s="17"/>
      <c r="D62" s="17"/>
      <c r="E62" s="17"/>
      <c r="F62" s="17"/>
      <c r="G62" s="28" t="s">
        <v>117</v>
      </c>
      <c r="H62" s="28" t="s">
        <v>117</v>
      </c>
      <c r="J62" s="17"/>
      <c r="K62" s="17"/>
      <c r="L62" s="17"/>
      <c r="M62" s="17"/>
      <c r="N62" s="17"/>
      <c r="O62" s="17"/>
      <c r="P62" s="28" t="s">
        <v>117</v>
      </c>
      <c r="Q62" s="28" t="s">
        <v>117</v>
      </c>
      <c r="S62" s="17"/>
      <c r="T62" s="17"/>
      <c r="U62" s="17"/>
      <c r="V62" s="17"/>
      <c r="W62" s="17"/>
      <c r="X62" s="17"/>
      <c r="Y62" s="28" t="s">
        <v>117</v>
      </c>
      <c r="Z62" s="28" t="s">
        <v>117</v>
      </c>
      <c r="AB62" s="17"/>
      <c r="AC62" s="17"/>
      <c r="AD62" s="17"/>
      <c r="AE62" s="17"/>
      <c r="AF62" s="17"/>
      <c r="AG62" s="17"/>
      <c r="AH62" s="28" t="s">
        <v>117</v>
      </c>
      <c r="AI62" s="28" t="s">
        <v>117</v>
      </c>
      <c r="AK62" s="17"/>
      <c r="AL62" s="17"/>
      <c r="AM62" s="17"/>
      <c r="AN62" s="17"/>
      <c r="AO62" s="17"/>
      <c r="AP62" s="17"/>
      <c r="AQ62" s="28" t="s">
        <v>117</v>
      </c>
      <c r="AR62" s="28" t="s">
        <v>117</v>
      </c>
      <c r="AT62" s="4"/>
      <c r="AU62" s="4"/>
      <c r="AV62" s="4"/>
      <c r="AW62" s="4"/>
      <c r="AX62" s="4"/>
      <c r="AY62" s="4"/>
      <c r="AZ62" s="25"/>
      <c r="BA62" s="25"/>
    </row>
    <row r="63" spans="1:53" ht="12.75">
      <c r="A63" s="3" t="s">
        <v>5</v>
      </c>
      <c r="B63" s="3">
        <v>10</v>
      </c>
      <c r="C63" s="3">
        <v>9</v>
      </c>
      <c r="D63" s="3">
        <v>10</v>
      </c>
      <c r="E63" s="4">
        <v>9</v>
      </c>
      <c r="F63" s="17">
        <v>9</v>
      </c>
      <c r="G63" s="7">
        <f>261/29</f>
        <v>9</v>
      </c>
      <c r="H63" s="7">
        <f>(14039+35356+261+6746)/83</f>
        <v>679.5421686746988</v>
      </c>
      <c r="J63" s="3" t="s">
        <v>5</v>
      </c>
      <c r="K63" s="3"/>
      <c r="L63" s="3">
        <v>6</v>
      </c>
      <c r="M63" s="3">
        <v>6</v>
      </c>
      <c r="N63" s="4">
        <v>4</v>
      </c>
      <c r="O63" s="17">
        <v>6</v>
      </c>
      <c r="P63" s="7">
        <f>261/29</f>
        <v>9</v>
      </c>
      <c r="Q63" s="7">
        <f>(14039+35356+261+6746)/83</f>
        <v>679.5421686746988</v>
      </c>
      <c r="S63" s="3" t="s">
        <v>5</v>
      </c>
      <c r="T63" s="3">
        <v>1</v>
      </c>
      <c r="U63" s="3">
        <v>1</v>
      </c>
      <c r="V63" s="3">
        <v>1</v>
      </c>
      <c r="W63" s="4">
        <v>1</v>
      </c>
      <c r="X63" s="17">
        <v>1</v>
      </c>
      <c r="Y63" s="7">
        <f>261/29</f>
        <v>9</v>
      </c>
      <c r="Z63" s="7">
        <f>(14039+35356+261+6746)/83</f>
        <v>679.5421686746988</v>
      </c>
      <c r="AB63" s="3" t="s">
        <v>5</v>
      </c>
      <c r="AC63" s="3">
        <v>1</v>
      </c>
      <c r="AD63" s="3">
        <v>1</v>
      </c>
      <c r="AE63" s="3">
        <v>1</v>
      </c>
      <c r="AF63" s="4">
        <v>1</v>
      </c>
      <c r="AG63" s="17">
        <v>1</v>
      </c>
      <c r="AH63" s="7">
        <f>261/29</f>
        <v>9</v>
      </c>
      <c r="AI63" s="7">
        <f>(14039+35356+261+6746)/83</f>
        <v>679.5421686746988</v>
      </c>
      <c r="AK63" s="3" t="s">
        <v>5</v>
      </c>
      <c r="AL63" s="3">
        <v>18</v>
      </c>
      <c r="AM63" s="3">
        <v>20</v>
      </c>
      <c r="AN63" s="3">
        <v>26</v>
      </c>
      <c r="AO63" s="4">
        <v>35</v>
      </c>
      <c r="AP63" s="17">
        <v>39</v>
      </c>
      <c r="AQ63" s="7">
        <f>261/29</f>
        <v>9</v>
      </c>
      <c r="AR63" s="7">
        <f>(14039+35356+261+6746)/83</f>
        <v>679.5421686746988</v>
      </c>
      <c r="AT63" s="4"/>
      <c r="AU63" s="4"/>
      <c r="AV63" s="4"/>
      <c r="AW63" s="4"/>
      <c r="AX63" s="4"/>
      <c r="AY63" s="4"/>
      <c r="AZ63" s="10"/>
      <c r="BA63" s="10"/>
    </row>
    <row r="64" spans="1:53" ht="12.75">
      <c r="A64" s="2" t="s">
        <v>6</v>
      </c>
      <c r="B64" s="3">
        <v>506</v>
      </c>
      <c r="C64" s="3">
        <v>356</v>
      </c>
      <c r="D64" s="3">
        <v>328</v>
      </c>
      <c r="E64" s="11">
        <v>314</v>
      </c>
      <c r="F64" s="22">
        <v>303</v>
      </c>
      <c r="G64" s="7">
        <v>724</v>
      </c>
      <c r="H64" s="7">
        <v>10458</v>
      </c>
      <c r="J64" s="3" t="s">
        <v>6</v>
      </c>
      <c r="K64" s="3"/>
      <c r="L64" s="13" t="s">
        <v>114</v>
      </c>
      <c r="M64" s="3">
        <v>41</v>
      </c>
      <c r="N64" s="11">
        <v>105</v>
      </c>
      <c r="O64" s="22">
        <v>108</v>
      </c>
      <c r="P64" s="7">
        <v>724</v>
      </c>
      <c r="Q64" s="7">
        <v>10458</v>
      </c>
      <c r="S64" s="3" t="s">
        <v>6</v>
      </c>
      <c r="T64" s="3">
        <v>21</v>
      </c>
      <c r="U64" s="3">
        <v>21</v>
      </c>
      <c r="V64" s="9">
        <v>19</v>
      </c>
      <c r="W64" s="11">
        <v>18</v>
      </c>
      <c r="X64" s="22">
        <v>21</v>
      </c>
      <c r="Y64" s="7">
        <v>724</v>
      </c>
      <c r="Z64" s="7">
        <v>10458</v>
      </c>
      <c r="AB64" s="3" t="s">
        <v>6</v>
      </c>
      <c r="AC64" s="3">
        <v>15</v>
      </c>
      <c r="AD64" s="13" t="s">
        <v>114</v>
      </c>
      <c r="AE64" s="13" t="s">
        <v>114</v>
      </c>
      <c r="AF64" s="11">
        <v>15</v>
      </c>
      <c r="AG64" s="22">
        <v>16</v>
      </c>
      <c r="AH64" s="7">
        <v>724</v>
      </c>
      <c r="AI64" s="7">
        <v>10458</v>
      </c>
      <c r="AK64" s="3" t="s">
        <v>6</v>
      </c>
      <c r="AL64" s="3">
        <v>1470</v>
      </c>
      <c r="AM64" s="3">
        <v>1614</v>
      </c>
      <c r="AN64" s="8">
        <v>2018</v>
      </c>
      <c r="AO64" s="11">
        <v>2754</v>
      </c>
      <c r="AP64" s="22">
        <v>3250</v>
      </c>
      <c r="AQ64" s="7">
        <v>724</v>
      </c>
      <c r="AR64" s="7">
        <v>10458</v>
      </c>
      <c r="AT64" s="4"/>
      <c r="AU64" s="4"/>
      <c r="AV64" s="4"/>
      <c r="AW64" s="11"/>
      <c r="AX64" s="11"/>
      <c r="AY64" s="11"/>
      <c r="AZ64" s="10"/>
      <c r="BA64" s="10"/>
    </row>
    <row r="65" spans="1:53" ht="12.75">
      <c r="A65" s="2" t="s">
        <v>20</v>
      </c>
      <c r="B65" s="3">
        <v>617.86</v>
      </c>
      <c r="C65" s="3">
        <v>978.62</v>
      </c>
      <c r="D65" s="6">
        <v>921.94</v>
      </c>
      <c r="E65" s="5">
        <v>980.52</v>
      </c>
      <c r="F65" s="18">
        <v>1206.05</v>
      </c>
      <c r="G65" s="3">
        <v>1006.24</v>
      </c>
      <c r="H65" s="3">
        <v>423.74</v>
      </c>
      <c r="J65" s="3" t="s">
        <v>20</v>
      </c>
      <c r="K65" s="3"/>
      <c r="L65" s="6">
        <v>1336.56</v>
      </c>
      <c r="M65" s="6">
        <v>1006.21</v>
      </c>
      <c r="N65" s="5">
        <v>946</v>
      </c>
      <c r="O65" s="18">
        <v>1272</v>
      </c>
      <c r="P65" s="3">
        <v>1006.24</v>
      </c>
      <c r="Q65" s="3">
        <v>423.74</v>
      </c>
      <c r="S65" s="3" t="s">
        <v>20</v>
      </c>
      <c r="T65" s="3">
        <v>635.34</v>
      </c>
      <c r="U65" s="3">
        <v>658.05</v>
      </c>
      <c r="V65" s="6">
        <v>800.45</v>
      </c>
      <c r="W65" s="5">
        <v>628.66</v>
      </c>
      <c r="X65" s="18">
        <v>980</v>
      </c>
      <c r="Y65" s="3">
        <v>1006.24</v>
      </c>
      <c r="Z65" s="3">
        <v>423.74</v>
      </c>
      <c r="AB65" s="3" t="s">
        <v>20</v>
      </c>
      <c r="AC65" s="6">
        <v>1161.94</v>
      </c>
      <c r="AD65" s="6">
        <v>936.1</v>
      </c>
      <c r="AE65" s="6">
        <v>744.38</v>
      </c>
      <c r="AF65" s="5">
        <v>1109.39</v>
      </c>
      <c r="AG65" s="18">
        <v>1503.26</v>
      </c>
      <c r="AH65" s="3">
        <v>1006.24</v>
      </c>
      <c r="AI65" s="3">
        <v>423.74</v>
      </c>
      <c r="AK65" s="3" t="s">
        <v>20</v>
      </c>
      <c r="AL65" s="3">
        <v>1566.82</v>
      </c>
      <c r="AM65" s="3">
        <v>1660.19</v>
      </c>
      <c r="AN65" s="6">
        <v>1666.92</v>
      </c>
      <c r="AO65" s="5">
        <v>1359.51</v>
      </c>
      <c r="AP65" s="18">
        <v>1607.92</v>
      </c>
      <c r="AQ65" s="3">
        <v>1006.24</v>
      </c>
      <c r="AR65" s="3">
        <v>423.74</v>
      </c>
      <c r="AT65" s="4"/>
      <c r="AU65" s="5"/>
      <c r="AV65" s="4"/>
      <c r="AW65" s="5"/>
      <c r="AX65" s="5"/>
      <c r="AY65" s="5"/>
      <c r="AZ65" s="4"/>
      <c r="BA65" s="4"/>
    </row>
    <row r="66" spans="1:53" ht="12.75">
      <c r="A66" s="2" t="s">
        <v>56</v>
      </c>
      <c r="B66" s="6">
        <v>-6.9</v>
      </c>
      <c r="C66" s="3">
        <v>-4.03</v>
      </c>
      <c r="D66" s="5">
        <v>-3.99</v>
      </c>
      <c r="E66" s="5">
        <v>4.7</v>
      </c>
      <c r="F66" s="17">
        <v>6.29</v>
      </c>
      <c r="G66" s="3">
        <v>14.61</v>
      </c>
      <c r="H66" s="3">
        <v>2.84</v>
      </c>
      <c r="J66" s="3" t="s">
        <v>56</v>
      </c>
      <c r="K66" s="3"/>
      <c r="L66" s="6">
        <v>7</v>
      </c>
      <c r="M66" s="5">
        <v>8.63</v>
      </c>
      <c r="N66" s="4">
        <v>-15.04</v>
      </c>
      <c r="O66" s="18">
        <v>71</v>
      </c>
      <c r="P66" s="3">
        <v>14.61</v>
      </c>
      <c r="Q66" s="3">
        <v>2.84</v>
      </c>
      <c r="S66" s="3" t="s">
        <v>56</v>
      </c>
      <c r="T66" s="3">
        <v>5.91</v>
      </c>
      <c r="U66" s="6">
        <v>12.9</v>
      </c>
      <c r="V66" s="5">
        <v>7.69</v>
      </c>
      <c r="W66" s="4">
        <v>-52.51</v>
      </c>
      <c r="X66" s="18">
        <v>-16</v>
      </c>
      <c r="Y66" s="3">
        <v>14.61</v>
      </c>
      <c r="Z66" s="3">
        <v>2.84</v>
      </c>
      <c r="AB66" s="3" t="s">
        <v>56</v>
      </c>
      <c r="AC66" s="6">
        <v>40.77</v>
      </c>
      <c r="AD66" s="3">
        <v>78.56</v>
      </c>
      <c r="AE66" s="5">
        <v>29.62</v>
      </c>
      <c r="AF66" s="4">
        <v>40.94</v>
      </c>
      <c r="AG66" s="17">
        <v>33.26</v>
      </c>
      <c r="AH66" s="3">
        <v>14.61</v>
      </c>
      <c r="AI66" s="3">
        <v>2.84</v>
      </c>
      <c r="AK66" s="3" t="s">
        <v>56</v>
      </c>
      <c r="AL66" s="3">
        <v>22.14</v>
      </c>
      <c r="AM66" s="3">
        <v>24.26</v>
      </c>
      <c r="AN66" s="5">
        <v>28.33</v>
      </c>
      <c r="AO66" s="4">
        <v>21.75</v>
      </c>
      <c r="AP66" s="17">
        <v>21.71</v>
      </c>
      <c r="AQ66" s="3">
        <v>14.61</v>
      </c>
      <c r="AR66" s="3">
        <v>2.84</v>
      </c>
      <c r="AT66" s="4"/>
      <c r="AU66" s="5"/>
      <c r="AV66" s="4"/>
      <c r="AW66" s="5"/>
      <c r="AX66" s="4"/>
      <c r="AY66" s="4"/>
      <c r="AZ66" s="4"/>
      <c r="BA66" s="4"/>
    </row>
    <row r="67" spans="1:53" ht="12.75">
      <c r="A67" s="2"/>
      <c r="B67" s="3"/>
      <c r="C67" s="3"/>
      <c r="D67" s="3"/>
      <c r="E67" s="4"/>
      <c r="F67" s="17"/>
      <c r="G67" s="3"/>
      <c r="H67" s="3"/>
      <c r="J67" s="3"/>
      <c r="K67" s="3"/>
      <c r="L67" s="3"/>
      <c r="M67" s="3"/>
      <c r="N67" s="4"/>
      <c r="O67" s="17"/>
      <c r="P67" s="3"/>
      <c r="Q67" s="3"/>
      <c r="S67" s="3"/>
      <c r="T67" s="3"/>
      <c r="U67" s="3"/>
      <c r="V67" s="3"/>
      <c r="W67" s="4"/>
      <c r="X67" s="17"/>
      <c r="Y67" s="3"/>
      <c r="Z67" s="3"/>
      <c r="AB67" s="3"/>
      <c r="AC67" s="3"/>
      <c r="AD67" s="3"/>
      <c r="AE67" s="3"/>
      <c r="AF67" s="4"/>
      <c r="AG67" s="17"/>
      <c r="AH67" s="3"/>
      <c r="AI67" s="3"/>
      <c r="AK67" s="3"/>
      <c r="AL67" s="3"/>
      <c r="AM67" s="3"/>
      <c r="AN67" s="3"/>
      <c r="AO67" s="4"/>
      <c r="AP67" s="17"/>
      <c r="AQ67" s="3"/>
      <c r="AR67" s="3"/>
      <c r="AT67" s="4"/>
      <c r="AU67" s="4"/>
      <c r="AV67" s="4"/>
      <c r="AW67" s="4"/>
      <c r="AX67" s="4"/>
      <c r="AY67" s="4"/>
      <c r="AZ67" s="4"/>
      <c r="BA67" s="4"/>
    </row>
    <row r="68" spans="1:53" ht="12.75">
      <c r="A68" s="2" t="s">
        <v>119</v>
      </c>
      <c r="B68" s="3">
        <v>203</v>
      </c>
      <c r="C68" s="3">
        <v>234</v>
      </c>
      <c r="D68" s="3">
        <v>357</v>
      </c>
      <c r="E68" s="10">
        <v>333</v>
      </c>
      <c r="F68" s="21">
        <v>496</v>
      </c>
      <c r="G68" s="7">
        <f>(8940+15347)/29</f>
        <v>837.4827586206897</v>
      </c>
      <c r="H68" s="7">
        <f>(25180+157847)/83</f>
        <v>2205.144578313253</v>
      </c>
      <c r="J68" s="3" t="s">
        <v>119</v>
      </c>
      <c r="K68" s="3"/>
      <c r="L68" s="3">
        <v>114</v>
      </c>
      <c r="M68" s="3">
        <v>118</v>
      </c>
      <c r="N68" s="10">
        <v>328</v>
      </c>
      <c r="O68" s="21">
        <v>718</v>
      </c>
      <c r="P68" s="7">
        <f>(8940+15347)/29</f>
        <v>837.4827586206897</v>
      </c>
      <c r="Q68" s="7">
        <f>(25180+157847)/83</f>
        <v>2205.144578313253</v>
      </c>
      <c r="S68" s="3" t="s">
        <v>119</v>
      </c>
      <c r="T68" s="3">
        <v>37</v>
      </c>
      <c r="U68" s="3">
        <v>41</v>
      </c>
      <c r="V68" s="3">
        <v>43</v>
      </c>
      <c r="W68" s="10">
        <v>45</v>
      </c>
      <c r="X68" s="21">
        <v>42</v>
      </c>
      <c r="Y68" s="7">
        <f>(8940+15347)/29</f>
        <v>837.4827586206897</v>
      </c>
      <c r="Z68" s="7">
        <f>(25180+157847)/83</f>
        <v>2205.144578313253</v>
      </c>
      <c r="AB68" s="3" t="s">
        <v>119</v>
      </c>
      <c r="AC68" s="3">
        <v>48</v>
      </c>
      <c r="AD68" s="3">
        <v>62</v>
      </c>
      <c r="AE68" s="3">
        <v>66</v>
      </c>
      <c r="AF68" s="10">
        <v>72</v>
      </c>
      <c r="AG68" s="21">
        <v>121</v>
      </c>
      <c r="AH68" s="7">
        <f>(8940+15347)/29</f>
        <v>837.4827586206897</v>
      </c>
      <c r="AI68" s="7">
        <f>(25180+157847)/83</f>
        <v>2205.144578313253</v>
      </c>
      <c r="AK68" s="3" t="s">
        <v>119</v>
      </c>
      <c r="AL68" s="3">
        <v>1734</v>
      </c>
      <c r="AM68" s="3">
        <v>2127</v>
      </c>
      <c r="AN68" s="3">
        <v>2695</v>
      </c>
      <c r="AO68" s="10">
        <v>3310</v>
      </c>
      <c r="AP68" s="21">
        <v>4347</v>
      </c>
      <c r="AQ68" s="7">
        <f>(8940+15347)/29</f>
        <v>837.4827586206897</v>
      </c>
      <c r="AR68" s="7">
        <f>(25180+157847)/83</f>
        <v>2205.144578313253</v>
      </c>
      <c r="AT68" s="4"/>
      <c r="AU68" s="4"/>
      <c r="AV68" s="4"/>
      <c r="AW68" s="4"/>
      <c r="AX68" s="10"/>
      <c r="AY68" s="10"/>
      <c r="AZ68" s="10"/>
      <c r="BA68" s="10"/>
    </row>
    <row r="69" spans="1:53" ht="12.75">
      <c r="A69" s="2" t="s">
        <v>7</v>
      </c>
      <c r="B69" s="3">
        <v>1634</v>
      </c>
      <c r="C69" s="3">
        <v>1580</v>
      </c>
      <c r="D69" s="4">
        <v>1737</v>
      </c>
      <c r="E69" s="4">
        <v>1674</v>
      </c>
      <c r="F69" s="17">
        <v>1847</v>
      </c>
      <c r="G69" s="7">
        <f>113746/29</f>
        <v>3922.2758620689656</v>
      </c>
      <c r="H69" s="7">
        <f>2162472/83</f>
        <v>26053.87951807229</v>
      </c>
      <c r="J69" s="3" t="s">
        <v>7</v>
      </c>
      <c r="K69" s="3"/>
      <c r="L69" s="3">
        <v>682</v>
      </c>
      <c r="M69" s="4">
        <v>499</v>
      </c>
      <c r="N69" s="4">
        <v>1306</v>
      </c>
      <c r="O69" s="17">
        <v>372</v>
      </c>
      <c r="P69" s="7">
        <f>113746/29</f>
        <v>3922.2758620689656</v>
      </c>
      <c r="Q69" s="7">
        <f>2162472/83</f>
        <v>26053.87951807229</v>
      </c>
      <c r="S69" s="3" t="s">
        <v>7</v>
      </c>
      <c r="T69" s="3">
        <v>75</v>
      </c>
      <c r="U69" s="3">
        <v>65</v>
      </c>
      <c r="V69" s="4">
        <v>63</v>
      </c>
      <c r="W69" s="4">
        <v>48</v>
      </c>
      <c r="X69" s="17">
        <v>78</v>
      </c>
      <c r="Y69" s="7">
        <f>113746/29</f>
        <v>3922.2758620689656</v>
      </c>
      <c r="Z69" s="7">
        <f>2162472/83</f>
        <v>26053.87951807229</v>
      </c>
      <c r="AB69" s="3" t="s">
        <v>7</v>
      </c>
      <c r="AC69" s="3">
        <v>76</v>
      </c>
      <c r="AD69" s="3">
        <v>56</v>
      </c>
      <c r="AE69" s="4">
        <v>60</v>
      </c>
      <c r="AF69" s="4">
        <v>97</v>
      </c>
      <c r="AG69" s="17">
        <v>149</v>
      </c>
      <c r="AH69" s="7">
        <f>113746/29</f>
        <v>3922.2758620689656</v>
      </c>
      <c r="AI69" s="7">
        <f>2162472/83</f>
        <v>26053.87951807229</v>
      </c>
      <c r="AK69" s="3" t="s">
        <v>7</v>
      </c>
      <c r="AL69" s="3">
        <v>15242</v>
      </c>
      <c r="AM69" s="3">
        <v>17743</v>
      </c>
      <c r="AN69" s="4">
        <v>20465</v>
      </c>
      <c r="AO69" s="4">
        <v>21484</v>
      </c>
      <c r="AP69" s="17">
        <v>27912</v>
      </c>
      <c r="AQ69" s="7">
        <f>113746/29</f>
        <v>3922.2758620689656</v>
      </c>
      <c r="AR69" s="7">
        <f>2162472/83</f>
        <v>26053.87951807229</v>
      </c>
      <c r="AT69" s="4"/>
      <c r="AU69" s="4"/>
      <c r="AV69" s="4"/>
      <c r="AW69" s="4"/>
      <c r="AX69" s="4"/>
      <c r="AY69" s="4"/>
      <c r="AZ69" s="10"/>
      <c r="BA69" s="10"/>
    </row>
    <row r="70" spans="1:53" ht="12.75">
      <c r="A70" s="2" t="s">
        <v>8</v>
      </c>
      <c r="B70" s="3">
        <v>1485</v>
      </c>
      <c r="C70" s="3">
        <v>918</v>
      </c>
      <c r="D70" s="4">
        <v>1001</v>
      </c>
      <c r="E70" s="4">
        <v>861</v>
      </c>
      <c r="F70" s="17">
        <v>1108</v>
      </c>
      <c r="G70" s="7">
        <f>53563/29</f>
        <v>1847</v>
      </c>
      <c r="H70" s="7">
        <f>866961/83</f>
        <v>10445.313253012047</v>
      </c>
      <c r="J70" s="3" t="s">
        <v>8</v>
      </c>
      <c r="K70" s="3"/>
      <c r="L70" s="3">
        <v>362</v>
      </c>
      <c r="M70" s="4">
        <v>331</v>
      </c>
      <c r="N70" s="4">
        <v>890</v>
      </c>
      <c r="O70" s="17">
        <v>427</v>
      </c>
      <c r="P70" s="7">
        <f>53563/29</f>
        <v>1847</v>
      </c>
      <c r="Q70" s="7">
        <f>866961/83</f>
        <v>10445.313253012047</v>
      </c>
      <c r="S70" s="3" t="s">
        <v>8</v>
      </c>
      <c r="T70" s="3">
        <v>51</v>
      </c>
      <c r="U70" s="3">
        <v>42</v>
      </c>
      <c r="V70" s="4">
        <v>25</v>
      </c>
      <c r="W70" s="4">
        <v>27</v>
      </c>
      <c r="X70" s="17">
        <v>34</v>
      </c>
      <c r="Y70" s="7">
        <f>53563/29</f>
        <v>1847</v>
      </c>
      <c r="Z70" s="7">
        <f>866961/83</f>
        <v>10445.313253012047</v>
      </c>
      <c r="AB70" s="3" t="s">
        <v>8</v>
      </c>
      <c r="AC70" s="3">
        <v>38</v>
      </c>
      <c r="AD70" s="3">
        <v>30</v>
      </c>
      <c r="AE70" s="4">
        <v>40</v>
      </c>
      <c r="AF70" s="4">
        <v>82</v>
      </c>
      <c r="AG70" s="17">
        <v>67</v>
      </c>
      <c r="AH70" s="7">
        <f>53563/29</f>
        <v>1847</v>
      </c>
      <c r="AI70" s="7">
        <f>866961/83</f>
        <v>10445.313253012047</v>
      </c>
      <c r="AK70" s="3" t="s">
        <v>8</v>
      </c>
      <c r="AL70" s="3">
        <v>6007</v>
      </c>
      <c r="AM70" s="3">
        <v>7036</v>
      </c>
      <c r="AN70" s="4">
        <v>6690</v>
      </c>
      <c r="AO70" s="4">
        <v>8120</v>
      </c>
      <c r="AP70" s="17">
        <v>10556</v>
      </c>
      <c r="AQ70" s="7">
        <f>53563/29</f>
        <v>1847</v>
      </c>
      <c r="AR70" s="7">
        <f>866961/83</f>
        <v>10445.313253012047</v>
      </c>
      <c r="AT70" s="4"/>
      <c r="AU70" s="4"/>
      <c r="AV70" s="4"/>
      <c r="AW70" s="4"/>
      <c r="AX70" s="4"/>
      <c r="AY70" s="4"/>
      <c r="AZ70" s="10"/>
      <c r="BA70" s="10"/>
    </row>
    <row r="71" spans="1:53" ht="12.75">
      <c r="A71" s="2" t="s">
        <v>9</v>
      </c>
      <c r="B71" s="3">
        <v>1521</v>
      </c>
      <c r="C71" s="3">
        <v>1423</v>
      </c>
      <c r="D71" s="4">
        <v>1315</v>
      </c>
      <c r="E71" s="4">
        <v>1719</v>
      </c>
      <c r="F71" s="17">
        <v>1854</v>
      </c>
      <c r="G71" s="7">
        <f>97555/29</f>
        <v>3363.9655172413795</v>
      </c>
      <c r="H71" s="7">
        <f>1515667/83</f>
        <v>18261.048192771083</v>
      </c>
      <c r="J71" s="3" t="s">
        <v>9</v>
      </c>
      <c r="K71" s="3"/>
      <c r="L71" s="3">
        <v>232</v>
      </c>
      <c r="M71" s="4">
        <v>47</v>
      </c>
      <c r="N71" s="4">
        <v>674</v>
      </c>
      <c r="O71" s="17">
        <v>1004</v>
      </c>
      <c r="P71" s="7">
        <f>97555/29</f>
        <v>3363.9655172413795</v>
      </c>
      <c r="Q71" s="7">
        <f>1515667/83</f>
        <v>18261.048192771083</v>
      </c>
      <c r="S71" s="3" t="s">
        <v>9</v>
      </c>
      <c r="T71" s="3">
        <v>58</v>
      </c>
      <c r="U71" s="3">
        <v>73</v>
      </c>
      <c r="V71" s="4">
        <v>89</v>
      </c>
      <c r="W71" s="4">
        <v>59</v>
      </c>
      <c r="X71" s="17">
        <v>98</v>
      </c>
      <c r="Y71" s="7">
        <f>97555/29</f>
        <v>3363.9655172413795</v>
      </c>
      <c r="Z71" s="7">
        <f>1515667/83</f>
        <v>18261.048192771083</v>
      </c>
      <c r="AB71" s="3" t="s">
        <v>9</v>
      </c>
      <c r="AC71" s="3">
        <v>98</v>
      </c>
      <c r="AD71" s="3">
        <v>75</v>
      </c>
      <c r="AE71" s="4">
        <v>45</v>
      </c>
      <c r="AF71" s="4">
        <v>69</v>
      </c>
      <c r="AG71" s="17">
        <v>91</v>
      </c>
      <c r="AH71" s="7">
        <f>97555/29</f>
        <v>3363.9655172413795</v>
      </c>
      <c r="AI71" s="7">
        <f>1515667/83</f>
        <v>18261.048192771083</v>
      </c>
      <c r="AK71" s="3" t="s">
        <v>9</v>
      </c>
      <c r="AL71" s="3">
        <v>11385</v>
      </c>
      <c r="AM71" s="3">
        <v>12629</v>
      </c>
      <c r="AN71" s="4">
        <v>15259</v>
      </c>
      <c r="AO71" s="4">
        <v>18111</v>
      </c>
      <c r="AP71" s="17">
        <v>24455</v>
      </c>
      <c r="AQ71" s="7">
        <f>97555/29</f>
        <v>3363.9655172413795</v>
      </c>
      <c r="AR71" s="7">
        <f>1515667/83</f>
        <v>18261.048192771083</v>
      </c>
      <c r="AT71" s="4"/>
      <c r="AU71" s="4"/>
      <c r="AV71" s="4"/>
      <c r="AW71" s="4"/>
      <c r="AX71" s="4"/>
      <c r="AY71" s="4"/>
      <c r="AZ71" s="10"/>
      <c r="BA71" s="10"/>
    </row>
    <row r="72" spans="1:53" ht="12.75">
      <c r="A72" s="2"/>
      <c r="B72" s="3"/>
      <c r="C72" s="3"/>
      <c r="D72" s="3"/>
      <c r="E72" s="4"/>
      <c r="F72" s="17"/>
      <c r="G72" s="7"/>
      <c r="H72" s="7"/>
      <c r="J72" s="3"/>
      <c r="K72" s="3"/>
      <c r="L72" s="3"/>
      <c r="M72" s="3"/>
      <c r="N72" s="4"/>
      <c r="O72" s="17"/>
      <c r="P72" s="7"/>
      <c r="Q72" s="7"/>
      <c r="S72" s="3"/>
      <c r="T72" s="3"/>
      <c r="U72" s="3"/>
      <c r="V72" s="3"/>
      <c r="W72" s="4"/>
      <c r="X72" s="17"/>
      <c r="Y72" s="7"/>
      <c r="Z72" s="7"/>
      <c r="AB72" s="3"/>
      <c r="AC72" s="3"/>
      <c r="AD72" s="3"/>
      <c r="AE72" s="3"/>
      <c r="AF72" s="4"/>
      <c r="AG72" s="17"/>
      <c r="AH72" s="7"/>
      <c r="AI72" s="7"/>
      <c r="AK72" s="3"/>
      <c r="AL72" s="3"/>
      <c r="AM72" s="3"/>
      <c r="AN72" s="3"/>
      <c r="AO72" s="4"/>
      <c r="AP72" s="17"/>
      <c r="AQ72" s="7"/>
      <c r="AR72" s="7"/>
      <c r="AT72" s="4"/>
      <c r="AU72" s="4"/>
      <c r="AV72" s="4"/>
      <c r="AW72" s="4"/>
      <c r="AX72" s="4"/>
      <c r="AY72" s="4"/>
      <c r="AZ72" s="10"/>
      <c r="BA72" s="10"/>
    </row>
    <row r="73" spans="1:53" ht="12.75">
      <c r="A73" s="2" t="s">
        <v>10</v>
      </c>
      <c r="B73" s="4">
        <v>279</v>
      </c>
      <c r="C73" s="4">
        <v>248</v>
      </c>
      <c r="D73" s="4">
        <v>178</v>
      </c>
      <c r="E73" s="4">
        <v>176</v>
      </c>
      <c r="F73" s="17">
        <v>223</v>
      </c>
      <c r="G73" s="7">
        <v>421.8965517241379</v>
      </c>
      <c r="H73" s="7">
        <f>184377/83</f>
        <v>2221.409638554217</v>
      </c>
      <c r="J73" s="3" t="s">
        <v>10</v>
      </c>
      <c r="K73" s="4"/>
      <c r="L73" s="4">
        <v>82</v>
      </c>
      <c r="M73" s="4">
        <v>58</v>
      </c>
      <c r="N73" s="4">
        <v>117</v>
      </c>
      <c r="O73" s="17">
        <v>130</v>
      </c>
      <c r="P73" s="7">
        <v>421.8965517241379</v>
      </c>
      <c r="Q73" s="7">
        <f>184377/83</f>
        <v>2221.409638554217</v>
      </c>
      <c r="S73" s="3" t="s">
        <v>10</v>
      </c>
      <c r="T73" s="4">
        <v>17</v>
      </c>
      <c r="U73" s="4">
        <v>14</v>
      </c>
      <c r="V73" s="4">
        <v>13</v>
      </c>
      <c r="W73" s="4">
        <v>9</v>
      </c>
      <c r="X73" s="17">
        <v>9</v>
      </c>
      <c r="Y73" s="7">
        <v>421.8965517241379</v>
      </c>
      <c r="Z73" s="7">
        <f>184377/83</f>
        <v>2221.409638554217</v>
      </c>
      <c r="AB73" s="3" t="s">
        <v>10</v>
      </c>
      <c r="AC73" s="4">
        <v>13</v>
      </c>
      <c r="AD73" s="4">
        <v>16</v>
      </c>
      <c r="AE73" s="4">
        <v>10</v>
      </c>
      <c r="AF73" s="4">
        <v>13</v>
      </c>
      <c r="AG73" s="17">
        <v>17</v>
      </c>
      <c r="AH73" s="7">
        <v>421.8965517241379</v>
      </c>
      <c r="AI73" s="7">
        <f>184377/83</f>
        <v>2221.409638554217</v>
      </c>
      <c r="AK73" s="3" t="s">
        <v>10</v>
      </c>
      <c r="AL73" s="4">
        <v>1910</v>
      </c>
      <c r="AM73" s="4">
        <v>1979</v>
      </c>
      <c r="AN73" s="4">
        <v>2280</v>
      </c>
      <c r="AO73" s="4">
        <v>2203</v>
      </c>
      <c r="AP73" s="17">
        <v>3064</v>
      </c>
      <c r="AQ73" s="7">
        <v>421.8965517241379</v>
      </c>
      <c r="AR73" s="7">
        <f>184377/83</f>
        <v>2221.409638554217</v>
      </c>
      <c r="AT73" s="4"/>
      <c r="AU73" s="4"/>
      <c r="AV73" s="4"/>
      <c r="AW73" s="4"/>
      <c r="AX73" s="4"/>
      <c r="AY73" s="4"/>
      <c r="AZ73" s="10"/>
      <c r="BA73" s="10"/>
    </row>
    <row r="74" spans="1:53" ht="12.75">
      <c r="A74" s="2" t="s">
        <v>11</v>
      </c>
      <c r="B74" s="4">
        <v>41</v>
      </c>
      <c r="C74" s="4">
        <v>33</v>
      </c>
      <c r="D74" s="4">
        <v>44</v>
      </c>
      <c r="E74" s="4">
        <v>68</v>
      </c>
      <c r="F74" s="17">
        <v>73</v>
      </c>
      <c r="G74" s="7">
        <f>5200/29</f>
        <v>179.31034482758622</v>
      </c>
      <c r="H74" s="7">
        <f>37693/83</f>
        <v>454.13253012048193</v>
      </c>
      <c r="J74" s="3" t="s">
        <v>11</v>
      </c>
      <c r="K74" s="4"/>
      <c r="L74" s="4">
        <v>9</v>
      </c>
      <c r="M74" s="4">
        <v>-7</v>
      </c>
      <c r="N74" s="4">
        <v>22</v>
      </c>
      <c r="O74" s="17">
        <v>107</v>
      </c>
      <c r="P74" s="7">
        <f>5200/29</f>
        <v>179.31034482758622</v>
      </c>
      <c r="Q74" s="7">
        <f>37693/83</f>
        <v>454.13253012048193</v>
      </c>
      <c r="S74" s="3" t="s">
        <v>11</v>
      </c>
      <c r="T74" s="4">
        <v>2</v>
      </c>
      <c r="U74" s="4">
        <v>1</v>
      </c>
      <c r="V74" s="4">
        <v>1</v>
      </c>
      <c r="W74" s="4">
        <v>1</v>
      </c>
      <c r="X74" s="17">
        <v>1</v>
      </c>
      <c r="Y74" s="7">
        <f>5200/29</f>
        <v>179.31034482758622</v>
      </c>
      <c r="Z74" s="7">
        <f>37693/83</f>
        <v>454.13253012048193</v>
      </c>
      <c r="AB74" s="3" t="s">
        <v>11</v>
      </c>
      <c r="AC74" s="4">
        <v>4</v>
      </c>
      <c r="AD74" s="4">
        <v>4</v>
      </c>
      <c r="AE74" s="4">
        <v>4</v>
      </c>
      <c r="AF74" s="4">
        <v>5</v>
      </c>
      <c r="AG74" s="17">
        <v>5</v>
      </c>
      <c r="AH74" s="7">
        <f>5200/29</f>
        <v>179.31034482758622</v>
      </c>
      <c r="AI74" s="7">
        <f>37693/83</f>
        <v>454.13253012048193</v>
      </c>
      <c r="AK74" s="3" t="s">
        <v>11</v>
      </c>
      <c r="AL74" s="4">
        <v>803</v>
      </c>
      <c r="AM74" s="4">
        <v>756</v>
      </c>
      <c r="AN74" s="4">
        <v>887</v>
      </c>
      <c r="AO74" s="4">
        <v>944</v>
      </c>
      <c r="AP74" s="17">
        <v>1043</v>
      </c>
      <c r="AQ74" s="7">
        <f>5200/29</f>
        <v>179.31034482758622</v>
      </c>
      <c r="AR74" s="7">
        <f>37693/83</f>
        <v>454.13253012048193</v>
      </c>
      <c r="AT74" s="4"/>
      <c r="AU74" s="4"/>
      <c r="AV74" s="4"/>
      <c r="AW74" s="4"/>
      <c r="AX74" s="4"/>
      <c r="AY74" s="4"/>
      <c r="AZ74" s="10"/>
      <c r="BA74" s="10"/>
    </row>
    <row r="75" spans="1:53" ht="12.75">
      <c r="A75" s="2" t="s">
        <v>12</v>
      </c>
      <c r="B75" s="4">
        <v>209</v>
      </c>
      <c r="C75" s="4">
        <v>170</v>
      </c>
      <c r="D75" s="4">
        <v>99</v>
      </c>
      <c r="E75" s="4">
        <v>91</v>
      </c>
      <c r="F75" s="17">
        <v>113</v>
      </c>
      <c r="G75" s="7">
        <f>5149/29</f>
        <v>177.55172413793105</v>
      </c>
      <c r="H75" s="7">
        <f>106836/83</f>
        <v>1287.1807228915663</v>
      </c>
      <c r="J75" s="3" t="s">
        <v>12</v>
      </c>
      <c r="K75" s="4"/>
      <c r="L75" s="4">
        <v>59</v>
      </c>
      <c r="M75" s="4">
        <v>38</v>
      </c>
      <c r="N75" s="4">
        <v>98</v>
      </c>
      <c r="O75" s="17">
        <v>105</v>
      </c>
      <c r="P75" s="7">
        <f>5149/29</f>
        <v>177.55172413793105</v>
      </c>
      <c r="Q75" s="7">
        <f>106836/83</f>
        <v>1287.1807228915663</v>
      </c>
      <c r="S75" s="3" t="s">
        <v>12</v>
      </c>
      <c r="T75" s="4">
        <v>9</v>
      </c>
      <c r="U75" s="4">
        <v>5</v>
      </c>
      <c r="V75" s="4">
        <v>4</v>
      </c>
      <c r="W75" s="4">
        <v>3</v>
      </c>
      <c r="X75" s="17">
        <v>3</v>
      </c>
      <c r="Y75" s="7">
        <f>5149/29</f>
        <v>177.55172413793105</v>
      </c>
      <c r="Z75" s="7">
        <f>106836/83</f>
        <v>1287.1807228915663</v>
      </c>
      <c r="AB75" s="3" t="s">
        <v>12</v>
      </c>
      <c r="AC75" s="4">
        <v>2</v>
      </c>
      <c r="AD75" s="4">
        <v>5</v>
      </c>
      <c r="AE75" s="4">
        <v>2</v>
      </c>
      <c r="AF75" s="4">
        <v>3</v>
      </c>
      <c r="AG75" s="17">
        <v>7</v>
      </c>
      <c r="AH75" s="7">
        <f>5149/29</f>
        <v>177.55172413793105</v>
      </c>
      <c r="AI75" s="7">
        <f>106836/83</f>
        <v>1287.1807228915663</v>
      </c>
      <c r="AK75" s="3" t="s">
        <v>12</v>
      </c>
      <c r="AL75" s="4">
        <v>1103</v>
      </c>
      <c r="AM75" s="4">
        <v>1030</v>
      </c>
      <c r="AN75" s="4">
        <v>924</v>
      </c>
      <c r="AO75" s="4">
        <v>752</v>
      </c>
      <c r="AP75" s="17">
        <v>1006</v>
      </c>
      <c r="AQ75" s="7">
        <f>5149/29</f>
        <v>177.55172413793105</v>
      </c>
      <c r="AR75" s="7">
        <f>106836/83</f>
        <v>1287.1807228915663</v>
      </c>
      <c r="AT75" s="4"/>
      <c r="AU75" s="4"/>
      <c r="AV75" s="4"/>
      <c r="AW75" s="4"/>
      <c r="AX75" s="4"/>
      <c r="AY75" s="4"/>
      <c r="AZ75" s="10"/>
      <c r="BA75" s="10"/>
    </row>
    <row r="76" spans="1:53" ht="12.75">
      <c r="A76" s="2" t="s">
        <v>13</v>
      </c>
      <c r="B76" s="4">
        <v>133</v>
      </c>
      <c r="C76" s="4">
        <v>109</v>
      </c>
      <c r="D76" s="4">
        <v>87</v>
      </c>
      <c r="E76" s="4">
        <v>97</v>
      </c>
      <c r="F76" s="17">
        <v>104</v>
      </c>
      <c r="G76" s="7">
        <f>5624/29</f>
        <v>193.93103448275863</v>
      </c>
      <c r="H76" s="7">
        <f>58664/83</f>
        <v>706.7951807228916</v>
      </c>
      <c r="J76" s="3" t="s">
        <v>13</v>
      </c>
      <c r="K76" s="4"/>
      <c r="L76" s="4">
        <v>19</v>
      </c>
      <c r="M76" s="4">
        <v>15</v>
      </c>
      <c r="N76" s="4">
        <v>53</v>
      </c>
      <c r="O76" s="17">
        <v>53</v>
      </c>
      <c r="P76" s="7">
        <f>5624/29</f>
        <v>193.93103448275863</v>
      </c>
      <c r="Q76" s="7">
        <f>58664/83</f>
        <v>706.7951807228916</v>
      </c>
      <c r="S76" s="3" t="s">
        <v>13</v>
      </c>
      <c r="T76" s="4">
        <v>4</v>
      </c>
      <c r="U76" s="4">
        <v>5</v>
      </c>
      <c r="V76" s="4">
        <v>4</v>
      </c>
      <c r="W76" s="4">
        <v>5</v>
      </c>
      <c r="X76" s="17">
        <v>4</v>
      </c>
      <c r="Y76" s="7">
        <f>5624/29</f>
        <v>193.93103448275863</v>
      </c>
      <c r="Z76" s="7">
        <f>58664/83</f>
        <v>706.7951807228916</v>
      </c>
      <c r="AB76" s="3" t="s">
        <v>13</v>
      </c>
      <c r="AC76" s="4">
        <v>3</v>
      </c>
      <c r="AD76" s="4">
        <v>4</v>
      </c>
      <c r="AE76" s="4">
        <v>4</v>
      </c>
      <c r="AF76" s="4">
        <v>4</v>
      </c>
      <c r="AG76" s="17">
        <v>5</v>
      </c>
      <c r="AH76" s="7">
        <f>5624/29</f>
        <v>193.93103448275863</v>
      </c>
      <c r="AI76" s="7">
        <f>58664/83</f>
        <v>706.7951807228916</v>
      </c>
      <c r="AK76" s="3" t="s">
        <v>13</v>
      </c>
      <c r="AL76" s="4">
        <v>757</v>
      </c>
      <c r="AM76" s="4">
        <v>837</v>
      </c>
      <c r="AN76" s="4">
        <v>1010</v>
      </c>
      <c r="AO76" s="4">
        <v>1223</v>
      </c>
      <c r="AP76" s="17">
        <v>1525</v>
      </c>
      <c r="AQ76" s="7">
        <f>5624/29</f>
        <v>193.93103448275863</v>
      </c>
      <c r="AR76" s="7">
        <f>58664/83</f>
        <v>706.7951807228916</v>
      </c>
      <c r="AT76" s="4"/>
      <c r="AU76" s="4"/>
      <c r="AV76" s="4"/>
      <c r="AW76" s="4"/>
      <c r="AX76" s="4"/>
      <c r="AY76" s="4"/>
      <c r="AZ76" s="10"/>
      <c r="BA76" s="10"/>
    </row>
    <row r="77" spans="1:53" ht="12.75">
      <c r="A77" s="2"/>
      <c r="B77" s="3"/>
      <c r="C77" s="3"/>
      <c r="D77" s="3"/>
      <c r="E77" s="4"/>
      <c r="F77" s="17"/>
      <c r="G77" s="3"/>
      <c r="H77" s="3"/>
      <c r="J77" s="3"/>
      <c r="K77" s="3"/>
      <c r="L77" s="3"/>
      <c r="M77" s="3"/>
      <c r="N77" s="4"/>
      <c r="O77" s="17"/>
      <c r="P77" s="3"/>
      <c r="Q77" s="3"/>
      <c r="S77" s="3"/>
      <c r="T77" s="3"/>
      <c r="U77" s="3"/>
      <c r="V77" s="3"/>
      <c r="W77" s="4"/>
      <c r="X77" s="17"/>
      <c r="Y77" s="3"/>
      <c r="Z77" s="3"/>
      <c r="AB77" s="3"/>
      <c r="AC77" s="3"/>
      <c r="AD77" s="3"/>
      <c r="AE77" s="3"/>
      <c r="AF77" s="4"/>
      <c r="AG77" s="17"/>
      <c r="AH77" s="3"/>
      <c r="AI77" s="3"/>
      <c r="AK77" s="3"/>
      <c r="AL77" s="3"/>
      <c r="AM77" s="3"/>
      <c r="AN77" s="3"/>
      <c r="AO77" s="4"/>
      <c r="AP77" s="17"/>
      <c r="AQ77" s="3"/>
      <c r="AR77" s="3"/>
      <c r="AT77" s="4"/>
      <c r="AU77" s="4"/>
      <c r="AV77" s="4"/>
      <c r="AW77" s="4"/>
      <c r="AX77" s="4"/>
      <c r="AY77" s="4"/>
      <c r="AZ77" s="4"/>
      <c r="BA77" s="4"/>
    </row>
    <row r="78" spans="1:53" ht="12.75">
      <c r="A78" s="2" t="s">
        <v>14</v>
      </c>
      <c r="B78" s="5">
        <v>7.32</v>
      </c>
      <c r="C78" s="4">
        <v>5.96</v>
      </c>
      <c r="D78" s="4">
        <v>3.94</v>
      </c>
      <c r="E78" s="4">
        <v>3.68</v>
      </c>
      <c r="F78" s="17">
        <v>4.22</v>
      </c>
      <c r="G78" s="4">
        <v>3.61</v>
      </c>
      <c r="H78" s="4">
        <v>4.35</v>
      </c>
      <c r="J78" s="3" t="s">
        <v>14</v>
      </c>
      <c r="K78" s="5"/>
      <c r="L78" s="4">
        <v>5.65</v>
      </c>
      <c r="M78" s="4">
        <v>5.62</v>
      </c>
      <c r="N78" s="4">
        <v>10.09</v>
      </c>
      <c r="O78" s="18">
        <v>8.9</v>
      </c>
      <c r="P78" s="5">
        <v>3.61</v>
      </c>
      <c r="Q78" s="5">
        <v>4.35</v>
      </c>
      <c r="S78" s="3" t="s">
        <v>14</v>
      </c>
      <c r="T78" s="5">
        <v>8.6</v>
      </c>
      <c r="U78" s="4">
        <v>5.65</v>
      </c>
      <c r="V78" s="4">
        <v>4.79</v>
      </c>
      <c r="W78" s="4">
        <v>4.63</v>
      </c>
      <c r="X78" s="17">
        <v>3.02</v>
      </c>
      <c r="Y78" s="5">
        <v>3.61</v>
      </c>
      <c r="Z78" s="5">
        <v>4.35</v>
      </c>
      <c r="AB78" s="3" t="s">
        <v>14</v>
      </c>
      <c r="AC78" s="5">
        <v>2.25</v>
      </c>
      <c r="AD78" s="4">
        <v>6.39</v>
      </c>
      <c r="AE78" s="4">
        <v>1.04</v>
      </c>
      <c r="AF78" s="4">
        <v>0.99</v>
      </c>
      <c r="AG78" s="17">
        <v>2.17</v>
      </c>
      <c r="AH78" s="5">
        <v>3.61</v>
      </c>
      <c r="AI78" s="5">
        <v>4.35</v>
      </c>
      <c r="AK78" s="3" t="s">
        <v>14</v>
      </c>
      <c r="AL78" s="5">
        <v>6.07</v>
      </c>
      <c r="AM78" s="4">
        <v>5.02</v>
      </c>
      <c r="AN78" s="4">
        <v>3.91</v>
      </c>
      <c r="AO78" s="4">
        <v>2.77</v>
      </c>
      <c r="AP78" s="17">
        <v>3.04</v>
      </c>
      <c r="AQ78" s="5">
        <v>3.61</v>
      </c>
      <c r="AR78" s="5">
        <v>4.35</v>
      </c>
      <c r="AT78" s="4"/>
      <c r="AU78" s="5"/>
      <c r="AV78" s="4"/>
      <c r="AW78" s="4"/>
      <c r="AX78" s="4"/>
      <c r="AY78" s="4"/>
      <c r="AZ78" s="4"/>
      <c r="BA78" s="4"/>
    </row>
    <row r="79" spans="1:53" ht="12.75">
      <c r="A79" s="2" t="s">
        <v>18</v>
      </c>
      <c r="B79" s="4">
        <v>3.88</v>
      </c>
      <c r="C79" s="5">
        <v>3.67</v>
      </c>
      <c r="D79" s="6">
        <v>2.8</v>
      </c>
      <c r="E79" s="4">
        <v>1.66</v>
      </c>
      <c r="F79" s="17">
        <v>2.24</v>
      </c>
      <c r="G79" s="4">
        <v>4.93</v>
      </c>
      <c r="H79" s="4">
        <v>3.79</v>
      </c>
      <c r="J79" s="3" t="s">
        <v>18</v>
      </c>
      <c r="K79" s="4"/>
      <c r="L79" s="5">
        <v>2.88</v>
      </c>
      <c r="M79" s="6">
        <v>2.46</v>
      </c>
      <c r="N79" s="4">
        <v>3.78</v>
      </c>
      <c r="O79" s="17">
        <v>-1.47</v>
      </c>
      <c r="P79" s="5">
        <v>4.93</v>
      </c>
      <c r="Q79" s="5">
        <v>3.79</v>
      </c>
      <c r="S79" s="3" t="s">
        <v>18</v>
      </c>
      <c r="T79" s="4">
        <v>4.92</v>
      </c>
      <c r="U79" s="5">
        <v>7.43</v>
      </c>
      <c r="V79" s="6">
        <v>5.59</v>
      </c>
      <c r="W79" s="4">
        <v>3.41</v>
      </c>
      <c r="X79" s="17">
        <v>4.71</v>
      </c>
      <c r="Y79" s="5">
        <v>4.93</v>
      </c>
      <c r="Z79" s="5">
        <v>3.79</v>
      </c>
      <c r="AB79" s="3" t="s">
        <v>18</v>
      </c>
      <c r="AC79" s="4">
        <v>9.91</v>
      </c>
      <c r="AD79" s="5">
        <v>7.13</v>
      </c>
      <c r="AE79" s="6">
        <v>5.61</v>
      </c>
      <c r="AF79" s="4">
        <v>6.74</v>
      </c>
      <c r="AG79" s="17">
        <v>3.51</v>
      </c>
      <c r="AH79" s="5">
        <v>4.93</v>
      </c>
      <c r="AI79" s="5">
        <v>3.79</v>
      </c>
      <c r="AK79" s="3" t="s">
        <v>18</v>
      </c>
      <c r="AL79" s="4">
        <v>6.64</v>
      </c>
      <c r="AM79" s="5">
        <v>6.32</v>
      </c>
      <c r="AN79" s="6">
        <v>6.02</v>
      </c>
      <c r="AO79" s="4">
        <v>6.29</v>
      </c>
      <c r="AP79" s="17">
        <v>6.53</v>
      </c>
      <c r="AQ79" s="5">
        <v>4.93</v>
      </c>
      <c r="AR79" s="5">
        <v>3.79</v>
      </c>
      <c r="AT79" s="4"/>
      <c r="AU79" s="4"/>
      <c r="AV79" s="5"/>
      <c r="AW79" s="5"/>
      <c r="AX79" s="4"/>
      <c r="AY79" s="4"/>
      <c r="AZ79" s="4"/>
      <c r="BA79" s="4"/>
    </row>
    <row r="80" spans="1:53" ht="12.75">
      <c r="A80" s="2" t="s">
        <v>54</v>
      </c>
      <c r="B80" s="4">
        <v>16.43</v>
      </c>
      <c r="C80" s="4">
        <v>15.49</v>
      </c>
      <c r="D80" s="4">
        <v>22.23</v>
      </c>
      <c r="E80" s="5">
        <v>24.74</v>
      </c>
      <c r="F80" s="18">
        <v>23.01</v>
      </c>
      <c r="G80" s="4">
        <v>18.35</v>
      </c>
      <c r="H80" s="4">
        <v>20.17</v>
      </c>
      <c r="J80" s="3" t="s">
        <v>54</v>
      </c>
      <c r="K80" s="4"/>
      <c r="L80" s="4">
        <v>10.55</v>
      </c>
      <c r="M80" s="4">
        <v>10.85</v>
      </c>
      <c r="N80" s="5">
        <v>13.14</v>
      </c>
      <c r="O80" s="18">
        <v>17.8</v>
      </c>
      <c r="P80" s="5">
        <v>18.35</v>
      </c>
      <c r="Q80" s="5">
        <v>20.17</v>
      </c>
      <c r="S80" s="3" t="s">
        <v>54</v>
      </c>
      <c r="T80" s="4">
        <v>10.27</v>
      </c>
      <c r="U80" s="4">
        <v>14.22</v>
      </c>
      <c r="V80" s="4">
        <v>15.79</v>
      </c>
      <c r="W80" s="5">
        <v>16.61</v>
      </c>
      <c r="X80" s="18">
        <v>18.57</v>
      </c>
      <c r="Y80" s="5">
        <v>18.35</v>
      </c>
      <c r="Z80" s="5">
        <v>20.17</v>
      </c>
      <c r="AB80" s="3" t="s">
        <v>54</v>
      </c>
      <c r="AC80" s="4">
        <v>22.02</v>
      </c>
      <c r="AD80" s="5">
        <v>13.3</v>
      </c>
      <c r="AE80" s="4">
        <v>17.94</v>
      </c>
      <c r="AF80" s="5">
        <v>16.41</v>
      </c>
      <c r="AG80" s="18">
        <v>11.47</v>
      </c>
      <c r="AH80" s="5">
        <v>18.35</v>
      </c>
      <c r="AI80" s="5">
        <v>20.17</v>
      </c>
      <c r="AK80" s="3" t="s">
        <v>54</v>
      </c>
      <c r="AL80" s="4">
        <v>8.74</v>
      </c>
      <c r="AM80" s="4">
        <v>10.11</v>
      </c>
      <c r="AN80" s="4">
        <v>13.04</v>
      </c>
      <c r="AO80" s="5">
        <v>12.35</v>
      </c>
      <c r="AP80" s="18">
        <v>13.6</v>
      </c>
      <c r="AQ80" s="5">
        <v>18.35</v>
      </c>
      <c r="AR80" s="5">
        <v>20.17</v>
      </c>
      <c r="AT80" s="4"/>
      <c r="AU80" s="4"/>
      <c r="AV80" s="4"/>
      <c r="AW80" s="4"/>
      <c r="AX80" s="5"/>
      <c r="AY80" s="5"/>
      <c r="AZ80" s="4"/>
      <c r="BA80" s="4"/>
    </row>
    <row r="81" spans="1:53" ht="12.75">
      <c r="A81" s="2"/>
      <c r="B81" s="3"/>
      <c r="C81" s="3"/>
      <c r="D81" s="3"/>
      <c r="E81" s="4"/>
      <c r="F81" s="17"/>
      <c r="G81" s="3"/>
      <c r="H81" s="3"/>
      <c r="J81" s="3"/>
      <c r="K81" s="3"/>
      <c r="L81" s="3"/>
      <c r="M81" s="3"/>
      <c r="N81" s="4"/>
      <c r="O81" s="17"/>
      <c r="P81" s="6"/>
      <c r="Q81" s="6"/>
      <c r="S81" s="3"/>
      <c r="T81" s="3"/>
      <c r="U81" s="3"/>
      <c r="V81" s="3"/>
      <c r="W81" s="4"/>
      <c r="X81" s="17"/>
      <c r="Y81" s="6"/>
      <c r="Z81" s="6"/>
      <c r="AB81" s="3"/>
      <c r="AC81" s="3"/>
      <c r="AD81" s="3"/>
      <c r="AE81" s="3"/>
      <c r="AF81" s="4"/>
      <c r="AG81" s="17"/>
      <c r="AH81" s="6"/>
      <c r="AI81" s="6"/>
      <c r="AK81" s="3"/>
      <c r="AL81" s="3"/>
      <c r="AM81" s="3"/>
      <c r="AN81" s="3"/>
      <c r="AO81" s="4"/>
      <c r="AP81" s="17"/>
      <c r="AQ81" s="6"/>
      <c r="AR81" s="6"/>
      <c r="AT81" s="4"/>
      <c r="AU81" s="4"/>
      <c r="AV81" s="4"/>
      <c r="AW81" s="4"/>
      <c r="AX81" s="4"/>
      <c r="AY81" s="4"/>
      <c r="AZ81" s="4"/>
      <c r="BA81" s="4"/>
    </row>
    <row r="82" spans="1:53" ht="12.75">
      <c r="A82" s="2" t="s">
        <v>15</v>
      </c>
      <c r="B82" s="4">
        <v>-0.94</v>
      </c>
      <c r="C82" s="5">
        <v>-0.53</v>
      </c>
      <c r="D82" s="4">
        <v>-0.44</v>
      </c>
      <c r="E82" s="4">
        <v>0.5</v>
      </c>
      <c r="F82" s="17">
        <v>0.55</v>
      </c>
      <c r="G82" s="4">
        <v>2.09</v>
      </c>
      <c r="H82" s="5">
        <v>1</v>
      </c>
      <c r="J82" s="3" t="s">
        <v>15</v>
      </c>
      <c r="K82" s="4"/>
      <c r="L82" s="5">
        <v>0.36</v>
      </c>
      <c r="M82" s="4">
        <v>0.51</v>
      </c>
      <c r="N82" s="5">
        <v>-0.8</v>
      </c>
      <c r="O82" s="18">
        <v>4.1</v>
      </c>
      <c r="P82" s="5">
        <v>2.09</v>
      </c>
      <c r="Q82" s="5">
        <v>1</v>
      </c>
      <c r="S82" s="3" t="s">
        <v>15</v>
      </c>
      <c r="T82" s="5">
        <v>1</v>
      </c>
      <c r="U82" s="5">
        <v>2.12</v>
      </c>
      <c r="V82" s="4">
        <v>1.15</v>
      </c>
      <c r="W82" s="4">
        <v>-7.68</v>
      </c>
      <c r="X82" s="17">
        <v>-1.71</v>
      </c>
      <c r="Y82" s="5">
        <v>2.09</v>
      </c>
      <c r="Z82" s="5">
        <v>1</v>
      </c>
      <c r="AB82" s="3" t="s">
        <v>15</v>
      </c>
      <c r="AC82" s="4">
        <v>3.42</v>
      </c>
      <c r="AD82" s="5">
        <v>7.19</v>
      </c>
      <c r="AE82" s="4">
        <v>1.93</v>
      </c>
      <c r="AF82" s="4">
        <v>2.49</v>
      </c>
      <c r="AG82" s="17">
        <v>1.48</v>
      </c>
      <c r="AH82" s="5">
        <v>2.09</v>
      </c>
      <c r="AI82" s="5">
        <v>1</v>
      </c>
      <c r="AK82" s="3" t="s">
        <v>15</v>
      </c>
      <c r="AL82" s="5">
        <v>3.6</v>
      </c>
      <c r="AM82" s="5">
        <v>2.88</v>
      </c>
      <c r="AN82" s="4">
        <v>3.55</v>
      </c>
      <c r="AO82" s="4">
        <v>2.84</v>
      </c>
      <c r="AP82" s="17">
        <v>3.07</v>
      </c>
      <c r="AQ82" s="5">
        <v>2.09</v>
      </c>
      <c r="AR82" s="5">
        <v>1</v>
      </c>
      <c r="AT82" s="4"/>
      <c r="AU82" s="5"/>
      <c r="AV82" s="5"/>
      <c r="AW82" s="5"/>
      <c r="AX82" s="4"/>
      <c r="AY82" s="4"/>
      <c r="AZ82" s="4"/>
      <c r="BA82" s="4"/>
    </row>
    <row r="83" spans="1:53" ht="12.75">
      <c r="A83" s="2" t="s">
        <v>16</v>
      </c>
      <c r="B83" s="4">
        <v>9.66</v>
      </c>
      <c r="C83" s="5">
        <v>10.74</v>
      </c>
      <c r="D83" s="5">
        <v>21.7</v>
      </c>
      <c r="E83" s="4">
        <v>9.41</v>
      </c>
      <c r="F83" s="17">
        <v>11.61</v>
      </c>
      <c r="G83" s="4">
        <v>12.58</v>
      </c>
      <c r="H83" s="6">
        <v>12.24</v>
      </c>
      <c r="J83" s="3" t="s">
        <v>16</v>
      </c>
      <c r="K83" s="4"/>
      <c r="L83" s="5">
        <v>20.04</v>
      </c>
      <c r="M83" s="4">
        <v>24.51</v>
      </c>
      <c r="N83" s="5">
        <v>14.4</v>
      </c>
      <c r="O83" s="18">
        <v>19.8</v>
      </c>
      <c r="P83" s="5">
        <v>12.58</v>
      </c>
      <c r="Q83" s="6">
        <v>12.24</v>
      </c>
      <c r="S83" s="3" t="s">
        <v>16</v>
      </c>
      <c r="T83" s="4">
        <v>40.11</v>
      </c>
      <c r="U83" s="5">
        <v>36.96</v>
      </c>
      <c r="V83" s="4">
        <v>39.98</v>
      </c>
      <c r="W83" s="4">
        <v>59.94</v>
      </c>
      <c r="X83" s="17">
        <v>38.56</v>
      </c>
      <c r="Y83" s="5">
        <v>12.58</v>
      </c>
      <c r="Z83" s="6">
        <v>12.24</v>
      </c>
      <c r="AB83" s="3" t="s">
        <v>16</v>
      </c>
      <c r="AC83" s="4">
        <v>27.65</v>
      </c>
      <c r="AD83" s="5">
        <v>37.17</v>
      </c>
      <c r="AE83" s="4">
        <v>54.43</v>
      </c>
      <c r="AF83" s="4">
        <v>55.31</v>
      </c>
      <c r="AG83" s="17">
        <v>81.71</v>
      </c>
      <c r="AH83" s="5">
        <v>12.58</v>
      </c>
      <c r="AI83" s="6">
        <v>12.24</v>
      </c>
      <c r="AK83" s="3" t="s">
        <v>16</v>
      </c>
      <c r="AL83" s="4">
        <v>11.04</v>
      </c>
      <c r="AM83" s="5">
        <v>11.3</v>
      </c>
      <c r="AN83" s="4">
        <v>11.11</v>
      </c>
      <c r="AO83" s="4">
        <v>10.78</v>
      </c>
      <c r="AP83" s="17">
        <v>11.33</v>
      </c>
      <c r="AQ83" s="5">
        <v>12.58</v>
      </c>
      <c r="AR83" s="6">
        <v>12.24</v>
      </c>
      <c r="AT83" s="4"/>
      <c r="AU83" s="5"/>
      <c r="AV83" s="5"/>
      <c r="AW83" s="5"/>
      <c r="AX83" s="4"/>
      <c r="AY83" s="4"/>
      <c r="AZ83" s="4"/>
      <c r="BA83" s="4"/>
    </row>
    <row r="84" spans="1:53" ht="12.75">
      <c r="A84" s="2" t="s">
        <v>17</v>
      </c>
      <c r="B84" s="3">
        <v>1.62</v>
      </c>
      <c r="C84" s="35">
        <v>3.77</v>
      </c>
      <c r="D84" s="6">
        <v>0</v>
      </c>
      <c r="E84" s="5">
        <v>0</v>
      </c>
      <c r="F84" s="18">
        <v>0</v>
      </c>
      <c r="G84" s="4">
        <v>0.78</v>
      </c>
      <c r="H84" s="4">
        <v>1.22</v>
      </c>
      <c r="J84" s="3" t="s">
        <v>17</v>
      </c>
      <c r="K84" s="3"/>
      <c r="L84" s="3">
        <v>0.51</v>
      </c>
      <c r="M84" s="3">
        <v>1.01</v>
      </c>
      <c r="N84" s="5">
        <v>0.3</v>
      </c>
      <c r="O84" s="18">
        <v>0.1</v>
      </c>
      <c r="P84" s="5">
        <v>0.78</v>
      </c>
      <c r="Q84" s="5">
        <v>1.22</v>
      </c>
      <c r="S84" s="3" t="s">
        <v>17</v>
      </c>
      <c r="T84" s="31">
        <v>0</v>
      </c>
      <c r="U84" s="35">
        <v>0</v>
      </c>
      <c r="V84" s="3">
        <v>5.76</v>
      </c>
      <c r="W84" s="4">
        <v>6.02</v>
      </c>
      <c r="X84" s="18">
        <v>1.8</v>
      </c>
      <c r="Y84" s="5">
        <v>0.78</v>
      </c>
      <c r="Z84" s="5">
        <v>1.22</v>
      </c>
      <c r="AB84" s="3" t="s">
        <v>17</v>
      </c>
      <c r="AC84" s="3">
        <v>0.47</v>
      </c>
      <c r="AD84" s="6">
        <v>0.48</v>
      </c>
      <c r="AE84" s="6">
        <v>0.8</v>
      </c>
      <c r="AF84" s="5">
        <v>0</v>
      </c>
      <c r="AG84" s="18">
        <v>0</v>
      </c>
      <c r="AH84" s="5">
        <v>0.78</v>
      </c>
      <c r="AI84" s="5">
        <v>1.22</v>
      </c>
      <c r="AK84" s="3" t="s">
        <v>17</v>
      </c>
      <c r="AL84" s="6">
        <v>0.4</v>
      </c>
      <c r="AM84" s="3">
        <v>1.17</v>
      </c>
      <c r="AN84" s="6">
        <v>1.4</v>
      </c>
      <c r="AO84" s="5">
        <v>1</v>
      </c>
      <c r="AP84" s="18">
        <v>0.95</v>
      </c>
      <c r="AQ84" s="5">
        <v>0.78</v>
      </c>
      <c r="AR84" s="5">
        <v>1.22</v>
      </c>
      <c r="AT84" s="4"/>
      <c r="AU84" s="5"/>
      <c r="AV84" s="5"/>
      <c r="AW84" s="5"/>
      <c r="AX84" s="4"/>
      <c r="AY84" s="4"/>
      <c r="AZ84" s="4"/>
      <c r="BA84" s="4"/>
    </row>
    <row r="85" spans="1:53" ht="12.75">
      <c r="A85" s="3"/>
      <c r="B85" s="3"/>
      <c r="C85" s="3"/>
      <c r="D85" s="3"/>
      <c r="E85" s="3"/>
      <c r="F85" s="3"/>
      <c r="G85" s="3"/>
      <c r="H85" s="3"/>
      <c r="J85" s="3"/>
      <c r="K85" s="3"/>
      <c r="L85" s="3"/>
      <c r="M85" s="3"/>
      <c r="N85" s="3"/>
      <c r="O85" s="3"/>
      <c r="P85" s="3"/>
      <c r="Q85" s="3"/>
      <c r="S85" s="3"/>
      <c r="T85" s="3"/>
      <c r="U85" s="3"/>
      <c r="V85" s="3"/>
      <c r="W85" s="3"/>
      <c r="X85" s="3"/>
      <c r="Y85" s="3"/>
      <c r="Z85" s="3"/>
      <c r="AB85" s="3"/>
      <c r="AC85" s="3"/>
      <c r="AD85" s="3"/>
      <c r="AE85" s="3"/>
      <c r="AF85" s="3"/>
      <c r="AG85" s="3"/>
      <c r="AH85" s="3"/>
      <c r="AI85" s="3"/>
      <c r="AK85" s="3"/>
      <c r="AL85" s="3"/>
      <c r="AM85" s="3"/>
      <c r="AN85" s="3"/>
      <c r="AO85" s="3"/>
      <c r="AP85" s="3"/>
      <c r="AQ85" s="3"/>
      <c r="AR85" s="3"/>
      <c r="AT85" s="3"/>
      <c r="AU85" s="3"/>
      <c r="AV85" s="3"/>
      <c r="AW85" s="3"/>
      <c r="AX85" s="3"/>
      <c r="AY85" s="3"/>
      <c r="AZ85" s="3"/>
      <c r="BA85" s="3"/>
    </row>
    <row r="87" spans="1:53" ht="12.75">
      <c r="A87" s="26" t="s">
        <v>29</v>
      </c>
      <c r="B87" s="27"/>
      <c r="C87" s="27"/>
      <c r="D87" s="27"/>
      <c r="E87" s="27"/>
      <c r="F87" s="27"/>
      <c r="G87" s="27"/>
      <c r="H87" s="26" t="s">
        <v>43</v>
      </c>
      <c r="J87" s="26" t="s">
        <v>29</v>
      </c>
      <c r="K87" s="27"/>
      <c r="L87" s="27"/>
      <c r="M87" s="27"/>
      <c r="N87" s="27"/>
      <c r="O87" s="27"/>
      <c r="P87" s="27"/>
      <c r="Q87" s="26" t="s">
        <v>39</v>
      </c>
      <c r="S87" s="26" t="s">
        <v>29</v>
      </c>
      <c r="T87" s="27"/>
      <c r="U87" s="27"/>
      <c r="V87" s="27"/>
      <c r="W87" s="26" t="s">
        <v>40</v>
      </c>
      <c r="X87" s="26"/>
      <c r="Y87" s="27"/>
      <c r="Z87" s="27"/>
      <c r="AB87" s="23"/>
      <c r="AC87" s="4"/>
      <c r="AD87" s="4"/>
      <c r="AE87" s="4"/>
      <c r="AF87" s="4"/>
      <c r="AG87" s="4"/>
      <c r="AH87" s="4"/>
      <c r="AI87" s="23"/>
      <c r="AK87" s="26" t="s">
        <v>29</v>
      </c>
      <c r="AL87" s="27"/>
      <c r="AM87" s="27"/>
      <c r="AN87" s="27"/>
      <c r="AO87" s="27"/>
      <c r="AP87" s="27"/>
      <c r="AQ87" s="26" t="s">
        <v>85</v>
      </c>
      <c r="AR87" s="27"/>
      <c r="AT87" s="26" t="s">
        <v>29</v>
      </c>
      <c r="AU87" s="27"/>
      <c r="AV87" s="27"/>
      <c r="AW87" s="27"/>
      <c r="AX87" s="27"/>
      <c r="AY87" s="27"/>
      <c r="AZ87" s="26" t="s">
        <v>86</v>
      </c>
      <c r="BA87" s="27"/>
    </row>
    <row r="88" spans="1:53" ht="12.75">
      <c r="A88" s="3"/>
      <c r="B88" s="3"/>
      <c r="C88" s="3"/>
      <c r="D88" s="3"/>
      <c r="E88" s="3"/>
      <c r="F88" s="3"/>
      <c r="G88" s="34"/>
      <c r="H88" s="36" t="s">
        <v>19</v>
      </c>
      <c r="J88" s="3"/>
      <c r="K88" s="3"/>
      <c r="L88" s="3"/>
      <c r="M88" s="3"/>
      <c r="N88" s="3"/>
      <c r="O88" s="3"/>
      <c r="P88" s="34"/>
      <c r="Q88" s="36" t="s">
        <v>19</v>
      </c>
      <c r="S88" s="3"/>
      <c r="T88" s="3"/>
      <c r="U88" s="3"/>
      <c r="V88" s="3"/>
      <c r="W88" s="3"/>
      <c r="X88" s="3"/>
      <c r="Y88" s="34"/>
      <c r="Z88" s="36" t="s">
        <v>19</v>
      </c>
      <c r="AB88" s="4"/>
      <c r="AC88" s="4"/>
      <c r="AD88" s="4"/>
      <c r="AE88" s="4"/>
      <c r="AF88" s="4"/>
      <c r="AG88" s="4"/>
      <c r="AH88" s="24"/>
      <c r="AI88" s="51"/>
      <c r="AK88" s="3"/>
      <c r="AL88" s="3"/>
      <c r="AM88" s="3"/>
      <c r="AN88" s="3"/>
      <c r="AO88" s="3"/>
      <c r="AP88" s="3"/>
      <c r="AQ88" s="34"/>
      <c r="AR88" s="36" t="s">
        <v>19</v>
      </c>
      <c r="AT88" s="3"/>
      <c r="AU88" s="3"/>
      <c r="AV88" s="3"/>
      <c r="AW88" s="3"/>
      <c r="AX88" s="3"/>
      <c r="AY88" s="3"/>
      <c r="AZ88" s="34"/>
      <c r="BA88" s="36" t="s">
        <v>19</v>
      </c>
    </row>
    <row r="89" spans="1:53" ht="12.75">
      <c r="A89" s="32" t="s">
        <v>4</v>
      </c>
      <c r="B89" s="17" t="s">
        <v>0</v>
      </c>
      <c r="C89" s="17" t="s">
        <v>1</v>
      </c>
      <c r="D89" s="17" t="s">
        <v>2</v>
      </c>
      <c r="E89" s="17" t="s">
        <v>3</v>
      </c>
      <c r="F89" s="17" t="s">
        <v>117</v>
      </c>
      <c r="G89" s="17" t="s">
        <v>53</v>
      </c>
      <c r="H89" s="17" t="s">
        <v>111</v>
      </c>
      <c r="J89" s="17" t="s">
        <v>4</v>
      </c>
      <c r="K89" s="17" t="s">
        <v>0</v>
      </c>
      <c r="L89" s="17" t="s">
        <v>1</v>
      </c>
      <c r="M89" s="17" t="s">
        <v>2</v>
      </c>
      <c r="N89" s="17" t="s">
        <v>3</v>
      </c>
      <c r="O89" s="17" t="s">
        <v>117</v>
      </c>
      <c r="P89" s="17" t="s">
        <v>53</v>
      </c>
      <c r="Q89" s="17" t="s">
        <v>111</v>
      </c>
      <c r="S89" s="17" t="s">
        <v>4</v>
      </c>
      <c r="T89" s="17" t="s">
        <v>0</v>
      </c>
      <c r="U89" s="17" t="s">
        <v>1</v>
      </c>
      <c r="V89" s="17" t="s">
        <v>2</v>
      </c>
      <c r="W89" s="17" t="s">
        <v>3</v>
      </c>
      <c r="X89" s="17" t="s">
        <v>117</v>
      </c>
      <c r="Y89" s="17" t="s">
        <v>53</v>
      </c>
      <c r="Z89" s="17" t="s">
        <v>111</v>
      </c>
      <c r="AB89" s="4"/>
      <c r="AC89" s="4"/>
      <c r="AD89" s="4"/>
      <c r="AE89" s="4"/>
      <c r="AF89" s="4"/>
      <c r="AG89" s="4"/>
      <c r="AH89" s="4"/>
      <c r="AI89" s="4"/>
      <c r="AK89" s="17" t="s">
        <v>4</v>
      </c>
      <c r="AL89" s="17" t="s">
        <v>0</v>
      </c>
      <c r="AM89" s="17" t="s">
        <v>1</v>
      </c>
      <c r="AN89" s="17" t="s">
        <v>2</v>
      </c>
      <c r="AO89" s="17" t="s">
        <v>3</v>
      </c>
      <c r="AP89" s="17" t="s">
        <v>117</v>
      </c>
      <c r="AQ89" s="17" t="s">
        <v>53</v>
      </c>
      <c r="AR89" s="17" t="s">
        <v>111</v>
      </c>
      <c r="AT89" s="17" t="s">
        <v>4</v>
      </c>
      <c r="AU89" s="17" t="s">
        <v>0</v>
      </c>
      <c r="AV89" s="17" t="s">
        <v>1</v>
      </c>
      <c r="AW89" s="17" t="s">
        <v>2</v>
      </c>
      <c r="AX89" s="17" t="s">
        <v>3</v>
      </c>
      <c r="AY89" s="17" t="s">
        <v>117</v>
      </c>
      <c r="AZ89" s="17" t="s">
        <v>53</v>
      </c>
      <c r="BA89" s="17" t="s">
        <v>111</v>
      </c>
    </row>
    <row r="90" spans="1:53" ht="12.75">
      <c r="A90" s="15"/>
      <c r="B90" s="16"/>
      <c r="C90" s="16"/>
      <c r="D90" s="16"/>
      <c r="E90" s="16"/>
      <c r="F90" s="16"/>
      <c r="G90" s="19" t="s">
        <v>117</v>
      </c>
      <c r="H90" s="19" t="s">
        <v>117</v>
      </c>
      <c r="J90" s="16"/>
      <c r="K90" s="16"/>
      <c r="L90" s="16"/>
      <c r="M90" s="16"/>
      <c r="N90" s="16"/>
      <c r="O90" s="16"/>
      <c r="P90" s="19" t="s">
        <v>117</v>
      </c>
      <c r="Q90" s="19" t="s">
        <v>117</v>
      </c>
      <c r="S90" s="16"/>
      <c r="T90" s="16"/>
      <c r="U90" s="16"/>
      <c r="V90" s="16"/>
      <c r="W90" s="16"/>
      <c r="X90" s="16"/>
      <c r="Y90" s="19" t="s">
        <v>117</v>
      </c>
      <c r="Z90" s="19" t="s">
        <v>117</v>
      </c>
      <c r="AB90" s="4"/>
      <c r="AC90" s="4"/>
      <c r="AD90" s="4"/>
      <c r="AE90" s="4"/>
      <c r="AF90" s="4"/>
      <c r="AG90" s="4"/>
      <c r="AH90" s="25"/>
      <c r="AI90" s="25"/>
      <c r="AK90" s="16"/>
      <c r="AL90" s="16"/>
      <c r="AM90" s="16"/>
      <c r="AN90" s="16"/>
      <c r="AO90" s="16"/>
      <c r="AP90" s="16"/>
      <c r="AQ90" s="19" t="s">
        <v>117</v>
      </c>
      <c r="AR90" s="19" t="s">
        <v>117</v>
      </c>
      <c r="AT90" s="16"/>
      <c r="AU90" s="16"/>
      <c r="AV90" s="16"/>
      <c r="AW90" s="16"/>
      <c r="AX90" s="16"/>
      <c r="AY90" s="16"/>
      <c r="AZ90" s="19" t="s">
        <v>117</v>
      </c>
      <c r="BA90" s="19" t="s">
        <v>117</v>
      </c>
    </row>
    <row r="91" spans="1:53" ht="12.75">
      <c r="A91" s="2" t="s">
        <v>5</v>
      </c>
      <c r="B91" s="3">
        <v>1</v>
      </c>
      <c r="C91" s="3">
        <v>1</v>
      </c>
      <c r="D91" s="3">
        <v>1</v>
      </c>
      <c r="E91" s="4">
        <v>1</v>
      </c>
      <c r="F91" s="17">
        <v>2</v>
      </c>
      <c r="G91" s="7">
        <f>261/29</f>
        <v>9</v>
      </c>
      <c r="H91" s="7">
        <f>(14039+35356+261+6746)/83</f>
        <v>679.5421686746988</v>
      </c>
      <c r="J91" s="3" t="s">
        <v>5</v>
      </c>
      <c r="K91" s="3">
        <v>5</v>
      </c>
      <c r="L91" s="3">
        <v>5</v>
      </c>
      <c r="M91" s="3">
        <v>5</v>
      </c>
      <c r="N91" s="4">
        <v>5</v>
      </c>
      <c r="O91" s="17">
        <v>8</v>
      </c>
      <c r="P91" s="7">
        <f>261/29</f>
        <v>9</v>
      </c>
      <c r="Q91" s="7">
        <f>(14039+35356+261+6746)/83</f>
        <v>679.5421686746988</v>
      </c>
      <c r="S91" s="3" t="s">
        <v>5</v>
      </c>
      <c r="T91" s="3">
        <v>30</v>
      </c>
      <c r="U91" s="3">
        <v>33</v>
      </c>
      <c r="V91" s="3">
        <v>37</v>
      </c>
      <c r="W91" s="4">
        <v>39</v>
      </c>
      <c r="X91" s="17">
        <v>42</v>
      </c>
      <c r="Y91" s="7">
        <f>261/29</f>
        <v>9</v>
      </c>
      <c r="Z91" s="7">
        <f>(14039+35356+261+6746)/83</f>
        <v>679.5421686746988</v>
      </c>
      <c r="AB91" s="4"/>
      <c r="AC91" s="4"/>
      <c r="AD91" s="4"/>
      <c r="AE91" s="4"/>
      <c r="AF91" s="4"/>
      <c r="AG91" s="4"/>
      <c r="AH91" s="10"/>
      <c r="AI91" s="10"/>
      <c r="AK91" s="3" t="s">
        <v>5</v>
      </c>
      <c r="AL91" s="3">
        <v>1</v>
      </c>
      <c r="AM91" s="3">
        <v>1</v>
      </c>
      <c r="AN91" s="3">
        <v>1</v>
      </c>
      <c r="AO91" s="4">
        <v>1</v>
      </c>
      <c r="AP91" s="17">
        <v>1</v>
      </c>
      <c r="AQ91" s="7">
        <f>261/29</f>
        <v>9</v>
      </c>
      <c r="AR91" s="7">
        <f>(14039+35356+261+6746)/83</f>
        <v>679.5421686746988</v>
      </c>
      <c r="AT91" s="3" t="s">
        <v>5</v>
      </c>
      <c r="AU91" s="3">
        <v>1</v>
      </c>
      <c r="AV91" s="3">
        <v>1</v>
      </c>
      <c r="AW91" s="3">
        <v>1</v>
      </c>
      <c r="AX91" s="4">
        <v>1</v>
      </c>
      <c r="AY91" s="17">
        <v>1</v>
      </c>
      <c r="AZ91" s="7">
        <f>261/29</f>
        <v>9</v>
      </c>
      <c r="BA91" s="7">
        <f>(14039+35356+261+6746)/83</f>
        <v>679.5421686746988</v>
      </c>
    </row>
    <row r="92" spans="1:53" ht="12.75">
      <c r="A92" s="2" t="s">
        <v>6</v>
      </c>
      <c r="B92" s="3">
        <v>30</v>
      </c>
      <c r="C92" s="13" t="s">
        <v>114</v>
      </c>
      <c r="D92" s="3">
        <v>29</v>
      </c>
      <c r="E92" s="11">
        <v>62</v>
      </c>
      <c r="F92" s="22">
        <v>131</v>
      </c>
      <c r="G92" s="7">
        <v>724</v>
      </c>
      <c r="H92" s="7">
        <v>10458</v>
      </c>
      <c r="J92" s="3" t="s">
        <v>6</v>
      </c>
      <c r="K92" s="3">
        <v>445</v>
      </c>
      <c r="L92" s="3">
        <v>405</v>
      </c>
      <c r="M92" s="3">
        <v>418</v>
      </c>
      <c r="N92" s="4">
        <v>380</v>
      </c>
      <c r="O92" s="17">
        <v>678</v>
      </c>
      <c r="P92" s="7">
        <v>724</v>
      </c>
      <c r="Q92" s="7">
        <v>10458</v>
      </c>
      <c r="S92" s="3" t="s">
        <v>6</v>
      </c>
      <c r="T92" s="3">
        <v>3355</v>
      </c>
      <c r="U92" s="3">
        <v>3339</v>
      </c>
      <c r="V92" s="3">
        <v>3130</v>
      </c>
      <c r="W92" s="11">
        <v>3784</v>
      </c>
      <c r="X92" s="22">
        <v>4985</v>
      </c>
      <c r="Y92" s="7">
        <v>724</v>
      </c>
      <c r="Z92" s="7">
        <v>10458</v>
      </c>
      <c r="AB92" s="4"/>
      <c r="AC92" s="4"/>
      <c r="AD92" s="12"/>
      <c r="AE92" s="12"/>
      <c r="AF92" s="12"/>
      <c r="AG92" s="12"/>
      <c r="AH92" s="10"/>
      <c r="AI92" s="10"/>
      <c r="AK92" s="3" t="s">
        <v>6</v>
      </c>
      <c r="AL92" s="12" t="s">
        <v>114</v>
      </c>
      <c r="AM92" s="13" t="s">
        <v>114</v>
      </c>
      <c r="AN92" s="8">
        <v>56</v>
      </c>
      <c r="AO92" s="11">
        <v>67</v>
      </c>
      <c r="AP92" s="22">
        <v>82</v>
      </c>
      <c r="AQ92" s="7">
        <v>724</v>
      </c>
      <c r="AR92" s="7">
        <v>10458</v>
      </c>
      <c r="AT92" s="3" t="s">
        <v>6</v>
      </c>
      <c r="AU92" s="3">
        <v>11</v>
      </c>
      <c r="AV92" s="3">
        <v>11</v>
      </c>
      <c r="AW92" s="3">
        <v>11</v>
      </c>
      <c r="AX92" s="11">
        <v>11</v>
      </c>
      <c r="AY92" s="22">
        <v>11</v>
      </c>
      <c r="AZ92" s="7">
        <v>724</v>
      </c>
      <c r="BA92" s="7">
        <v>10458</v>
      </c>
    </row>
    <row r="93" spans="1:53" ht="12.75">
      <c r="A93" s="2" t="s">
        <v>20</v>
      </c>
      <c r="B93" s="6">
        <v>1237.57</v>
      </c>
      <c r="C93" s="6">
        <v>1315.75</v>
      </c>
      <c r="D93" s="6">
        <v>1669.7</v>
      </c>
      <c r="E93" s="5">
        <v>1110.99</v>
      </c>
      <c r="F93" s="18">
        <v>1105.14</v>
      </c>
      <c r="G93" s="6">
        <v>1006.24</v>
      </c>
      <c r="H93" s="6">
        <v>423.74</v>
      </c>
      <c r="I93" s="6"/>
      <c r="J93" s="6" t="s">
        <v>20</v>
      </c>
      <c r="K93" s="6">
        <v>986.22</v>
      </c>
      <c r="L93" s="6">
        <v>894.19</v>
      </c>
      <c r="M93" s="6">
        <v>1099.23</v>
      </c>
      <c r="N93" s="5">
        <v>1608.93</v>
      </c>
      <c r="O93" s="18">
        <v>1016.83</v>
      </c>
      <c r="P93" s="3">
        <v>1006.24</v>
      </c>
      <c r="Q93" s="3">
        <v>423.74</v>
      </c>
      <c r="R93" s="6"/>
      <c r="S93" s="6" t="s">
        <v>20</v>
      </c>
      <c r="T93" s="6">
        <v>595.8</v>
      </c>
      <c r="U93" s="6">
        <v>622.78</v>
      </c>
      <c r="V93" s="6">
        <v>820.91</v>
      </c>
      <c r="W93" s="5">
        <v>852.54</v>
      </c>
      <c r="X93" s="18">
        <v>975.65</v>
      </c>
      <c r="Y93" s="3">
        <v>1006.24</v>
      </c>
      <c r="Z93" s="3">
        <v>423.74</v>
      </c>
      <c r="AA93" s="6"/>
      <c r="AB93" s="5"/>
      <c r="AC93" s="5"/>
      <c r="AD93" s="5"/>
      <c r="AE93" s="5"/>
      <c r="AF93" s="45"/>
      <c r="AG93" s="45"/>
      <c r="AH93" s="5"/>
      <c r="AI93" s="5"/>
      <c r="AJ93" s="6"/>
      <c r="AK93" s="6" t="s">
        <v>20</v>
      </c>
      <c r="AL93" s="6">
        <v>223.86</v>
      </c>
      <c r="AM93" s="6">
        <v>243.21</v>
      </c>
      <c r="AN93" s="6">
        <v>259.33</v>
      </c>
      <c r="AO93" s="5">
        <v>593.74</v>
      </c>
      <c r="AP93" s="18">
        <v>1252.09</v>
      </c>
      <c r="AQ93" s="3">
        <v>1006.24</v>
      </c>
      <c r="AR93" s="3">
        <v>423.74</v>
      </c>
      <c r="AS93" s="6"/>
      <c r="AT93" s="6" t="s">
        <v>20</v>
      </c>
      <c r="AU93" s="6">
        <v>126.73</v>
      </c>
      <c r="AV93" s="6">
        <v>251.72</v>
      </c>
      <c r="AW93" s="6">
        <v>291.03</v>
      </c>
      <c r="AX93" s="5">
        <v>460.75</v>
      </c>
      <c r="AY93" s="18">
        <v>395.25</v>
      </c>
      <c r="AZ93" s="3">
        <v>1006.24</v>
      </c>
      <c r="BA93" s="3">
        <v>423.74</v>
      </c>
    </row>
    <row r="94" spans="1:53" ht="12.75">
      <c r="A94" s="2" t="s">
        <v>56</v>
      </c>
      <c r="B94" s="6">
        <v>35.98</v>
      </c>
      <c r="C94" s="6">
        <v>28.1</v>
      </c>
      <c r="D94" s="5">
        <v>-27.6</v>
      </c>
      <c r="E94" s="5">
        <v>14.52</v>
      </c>
      <c r="F94" s="18">
        <v>12.24</v>
      </c>
      <c r="G94" s="6">
        <v>14.61</v>
      </c>
      <c r="H94" s="6">
        <v>2.84</v>
      </c>
      <c r="I94" s="6"/>
      <c r="J94" s="6" t="s">
        <v>56</v>
      </c>
      <c r="K94" s="6">
        <v>27.95</v>
      </c>
      <c r="L94" s="6">
        <v>43.31</v>
      </c>
      <c r="M94" s="5">
        <v>65.23</v>
      </c>
      <c r="N94" s="5">
        <v>20.31</v>
      </c>
      <c r="O94" s="18">
        <v>18.57</v>
      </c>
      <c r="P94" s="3">
        <v>14.61</v>
      </c>
      <c r="Q94" s="3">
        <v>2.84</v>
      </c>
      <c r="R94" s="6"/>
      <c r="S94" s="6" t="s">
        <v>56</v>
      </c>
      <c r="T94" s="6">
        <v>4.97</v>
      </c>
      <c r="U94" s="6">
        <v>4.5</v>
      </c>
      <c r="V94" s="5">
        <v>6.32</v>
      </c>
      <c r="W94" s="5">
        <v>9.74</v>
      </c>
      <c r="X94" s="18">
        <v>12.07</v>
      </c>
      <c r="Y94" s="3">
        <v>14.61</v>
      </c>
      <c r="Z94" s="3">
        <v>2.84</v>
      </c>
      <c r="AA94" s="6"/>
      <c r="AB94" s="5"/>
      <c r="AC94" s="5"/>
      <c r="AD94" s="5"/>
      <c r="AE94" s="5"/>
      <c r="AF94" s="45"/>
      <c r="AG94" s="45"/>
      <c r="AH94" s="5"/>
      <c r="AI94" s="5"/>
      <c r="AJ94" s="6"/>
      <c r="AK94" s="6" t="s">
        <v>56</v>
      </c>
      <c r="AL94" s="6">
        <v>38.61</v>
      </c>
      <c r="AM94" s="6">
        <v>37.37</v>
      </c>
      <c r="AN94" s="5">
        <v>28.74</v>
      </c>
      <c r="AO94" s="5">
        <v>69.96</v>
      </c>
      <c r="AP94" s="18">
        <v>88.94</v>
      </c>
      <c r="AQ94" s="3">
        <v>14.61</v>
      </c>
      <c r="AR94" s="3">
        <v>2.84</v>
      </c>
      <c r="AS94" s="6"/>
      <c r="AT94" s="6" t="s">
        <v>56</v>
      </c>
      <c r="AU94" s="6">
        <v>0.12</v>
      </c>
      <c r="AV94" s="6">
        <v>-3.66</v>
      </c>
      <c r="AW94" s="5">
        <v>7.12</v>
      </c>
      <c r="AX94" s="5">
        <v>0.19</v>
      </c>
      <c r="AY94" s="18">
        <v>37.77</v>
      </c>
      <c r="AZ94" s="3">
        <v>14.61</v>
      </c>
      <c r="BA94" s="3">
        <v>2.84</v>
      </c>
    </row>
    <row r="95" spans="1:53" ht="12.75">
      <c r="A95" s="2"/>
      <c r="B95" s="3"/>
      <c r="C95" s="3"/>
      <c r="D95" s="3"/>
      <c r="E95" s="4"/>
      <c r="F95" s="17"/>
      <c r="G95" s="3"/>
      <c r="H95" s="3"/>
      <c r="J95" s="3"/>
      <c r="K95" s="3"/>
      <c r="L95" s="3"/>
      <c r="M95" s="3"/>
      <c r="N95" s="4"/>
      <c r="O95" s="17"/>
      <c r="P95" s="3"/>
      <c r="Q95" s="3"/>
      <c r="S95" s="3"/>
      <c r="T95" s="3"/>
      <c r="U95" s="3"/>
      <c r="V95" s="3"/>
      <c r="W95" s="4"/>
      <c r="X95" s="17"/>
      <c r="Y95" s="3"/>
      <c r="Z95" s="3"/>
      <c r="AB95" s="4"/>
      <c r="AC95" s="4"/>
      <c r="AD95" s="4"/>
      <c r="AE95" s="4"/>
      <c r="AF95" s="4"/>
      <c r="AG95" s="4"/>
      <c r="AH95" s="4"/>
      <c r="AI95" s="4"/>
      <c r="AK95" s="3"/>
      <c r="AL95" s="3"/>
      <c r="AM95" s="3"/>
      <c r="AN95" s="3"/>
      <c r="AO95" s="4"/>
      <c r="AP95" s="17"/>
      <c r="AQ95" s="3"/>
      <c r="AR95" s="3"/>
      <c r="AT95" s="3"/>
      <c r="AU95" s="3"/>
      <c r="AV95" s="3"/>
      <c r="AW95" s="3"/>
      <c r="AX95" s="4"/>
      <c r="AY95" s="17"/>
      <c r="AZ95" s="3"/>
      <c r="BA95" s="3"/>
    </row>
    <row r="96" spans="1:53" ht="12.75">
      <c r="A96" s="2" t="s">
        <v>119</v>
      </c>
      <c r="B96" s="3">
        <v>77</v>
      </c>
      <c r="C96" s="3">
        <v>84</v>
      </c>
      <c r="D96" s="3">
        <v>210</v>
      </c>
      <c r="E96" s="10">
        <v>556</v>
      </c>
      <c r="F96" s="21">
        <v>573</v>
      </c>
      <c r="G96" s="7">
        <f>(8940+15347)/29</f>
        <v>837.4827586206897</v>
      </c>
      <c r="H96" s="7">
        <f>(25180+157847)/83</f>
        <v>2205.144578313253</v>
      </c>
      <c r="J96" s="3" t="s">
        <v>119</v>
      </c>
      <c r="K96" s="3">
        <v>703</v>
      </c>
      <c r="L96" s="3">
        <v>839</v>
      </c>
      <c r="M96" s="3">
        <v>918</v>
      </c>
      <c r="N96" s="4">
        <v>1232</v>
      </c>
      <c r="O96" s="17">
        <v>1311</v>
      </c>
      <c r="P96" s="7">
        <f>(8940+15347)/29</f>
        <v>837.4827586206897</v>
      </c>
      <c r="Q96" s="7">
        <f>(25180+157847)/83</f>
        <v>2205.144578313253</v>
      </c>
      <c r="S96" s="3" t="s">
        <v>119</v>
      </c>
      <c r="T96" s="7">
        <v>1231</v>
      </c>
      <c r="U96" s="3">
        <v>2298</v>
      </c>
      <c r="V96" s="3">
        <v>2453</v>
      </c>
      <c r="W96" s="10">
        <v>3578</v>
      </c>
      <c r="X96" s="21">
        <v>4166</v>
      </c>
      <c r="Y96" s="7">
        <f>(8940+15347)/29</f>
        <v>837.4827586206897</v>
      </c>
      <c r="Z96" s="7">
        <f>(25180+157847)/83</f>
        <v>2205.144578313253</v>
      </c>
      <c r="AB96" s="4"/>
      <c r="AC96" s="4"/>
      <c r="AD96" s="4"/>
      <c r="AE96" s="4"/>
      <c r="AF96" s="10"/>
      <c r="AG96" s="10"/>
      <c r="AH96" s="10"/>
      <c r="AI96" s="10"/>
      <c r="AK96" s="3" t="s">
        <v>119</v>
      </c>
      <c r="AL96" s="3">
        <v>183</v>
      </c>
      <c r="AM96" s="3">
        <v>203</v>
      </c>
      <c r="AN96" s="3">
        <v>219</v>
      </c>
      <c r="AO96" s="10">
        <v>266</v>
      </c>
      <c r="AP96" s="21">
        <v>545</v>
      </c>
      <c r="AQ96" s="7">
        <f>(8940+15347)/29</f>
        <v>837.4827586206897</v>
      </c>
      <c r="AR96" s="7">
        <f>(25180+157847)/83</f>
        <v>2205.144578313253</v>
      </c>
      <c r="AT96" s="3" t="s">
        <v>119</v>
      </c>
      <c r="AU96" s="3">
        <v>39</v>
      </c>
      <c r="AV96" s="3">
        <v>39</v>
      </c>
      <c r="AW96" s="3">
        <v>40</v>
      </c>
      <c r="AX96" s="10">
        <v>40</v>
      </c>
      <c r="AY96" s="21">
        <v>42</v>
      </c>
      <c r="AZ96" s="7">
        <f>(8940+15347)/29</f>
        <v>837.4827586206897</v>
      </c>
      <c r="BA96" s="7">
        <f>(25180+157847)/83</f>
        <v>2205.144578313253</v>
      </c>
    </row>
    <row r="97" spans="1:53" ht="12.75">
      <c r="A97" s="2" t="s">
        <v>7</v>
      </c>
      <c r="B97" s="3">
        <v>133</v>
      </c>
      <c r="C97" s="3">
        <v>124</v>
      </c>
      <c r="D97" s="4">
        <v>375</v>
      </c>
      <c r="E97" s="4">
        <v>611</v>
      </c>
      <c r="F97" s="17">
        <v>1452</v>
      </c>
      <c r="G97" s="7">
        <f>113746/29</f>
        <v>3922.2758620689656</v>
      </c>
      <c r="H97" s="7">
        <f>2162472/83</f>
        <v>26053.87951807229</v>
      </c>
      <c r="J97" s="3" t="s">
        <v>7</v>
      </c>
      <c r="K97" s="3">
        <v>2477</v>
      </c>
      <c r="L97" s="3">
        <v>1945</v>
      </c>
      <c r="M97" s="4">
        <v>2533</v>
      </c>
      <c r="N97" s="4">
        <v>3558</v>
      </c>
      <c r="O97" s="17">
        <v>4380</v>
      </c>
      <c r="P97" s="7">
        <f>113746/29</f>
        <v>3922.2758620689656</v>
      </c>
      <c r="Q97" s="7">
        <f>2162472/83</f>
        <v>26053.87951807229</v>
      </c>
      <c r="S97" s="3" t="s">
        <v>7</v>
      </c>
      <c r="T97" s="3">
        <v>12341</v>
      </c>
      <c r="U97" s="3">
        <v>12801</v>
      </c>
      <c r="V97" s="4">
        <v>16270</v>
      </c>
      <c r="W97" s="4">
        <v>17013</v>
      </c>
      <c r="X97" s="17">
        <v>24955</v>
      </c>
      <c r="Y97" s="7">
        <f>113746/29</f>
        <v>3922.2758620689656</v>
      </c>
      <c r="Z97" s="7">
        <f>2162472/83</f>
        <v>26053.87951807229</v>
      </c>
      <c r="AB97" s="4"/>
      <c r="AC97" s="4"/>
      <c r="AD97" s="4"/>
      <c r="AE97" s="11"/>
      <c r="AF97" s="12"/>
      <c r="AG97" s="12"/>
      <c r="AH97" s="10"/>
      <c r="AI97" s="10"/>
      <c r="AK97" s="3" t="s">
        <v>7</v>
      </c>
      <c r="AL97" s="3">
        <v>66</v>
      </c>
      <c r="AM97" s="3">
        <v>186</v>
      </c>
      <c r="AN97" s="4">
        <v>392</v>
      </c>
      <c r="AO97" s="4">
        <v>930</v>
      </c>
      <c r="AP97" s="17">
        <v>1826</v>
      </c>
      <c r="AQ97" s="7">
        <f>113746/29</f>
        <v>3922.2758620689656</v>
      </c>
      <c r="AR97" s="7">
        <f>2162472/83</f>
        <v>26053.87951807229</v>
      </c>
      <c r="AT97" s="3" t="s">
        <v>7</v>
      </c>
      <c r="AU97" s="3">
        <v>4</v>
      </c>
      <c r="AV97" s="3">
        <v>16</v>
      </c>
      <c r="AW97" s="4">
        <v>17</v>
      </c>
      <c r="AX97" s="4">
        <v>34</v>
      </c>
      <c r="AY97" s="17">
        <v>33</v>
      </c>
      <c r="AZ97" s="7">
        <f>113746/29</f>
        <v>3922.2758620689656</v>
      </c>
      <c r="BA97" s="7">
        <f>2162472/83</f>
        <v>26053.87951807229</v>
      </c>
    </row>
    <row r="98" spans="1:53" ht="12.75">
      <c r="A98" s="2" t="s">
        <v>8</v>
      </c>
      <c r="B98" s="3">
        <v>124</v>
      </c>
      <c r="C98" s="3">
        <v>76</v>
      </c>
      <c r="D98" s="4">
        <v>245</v>
      </c>
      <c r="E98" s="4">
        <v>250</v>
      </c>
      <c r="F98" s="17">
        <v>551</v>
      </c>
      <c r="G98" s="7">
        <f>53563/29</f>
        <v>1847</v>
      </c>
      <c r="H98" s="7">
        <f>866961/83</f>
        <v>10445.313253012047</v>
      </c>
      <c r="J98" s="3" t="s">
        <v>8</v>
      </c>
      <c r="K98" s="3">
        <v>1861</v>
      </c>
      <c r="L98" s="3">
        <v>2459</v>
      </c>
      <c r="M98" s="4">
        <v>2277</v>
      </c>
      <c r="N98" s="4">
        <v>2254</v>
      </c>
      <c r="O98" s="17">
        <v>3261</v>
      </c>
      <c r="P98" s="7">
        <f>53563/29</f>
        <v>1847</v>
      </c>
      <c r="Q98" s="7">
        <f>866961/83</f>
        <v>10445.313253012047</v>
      </c>
      <c r="S98" s="3" t="s">
        <v>8</v>
      </c>
      <c r="T98" s="3">
        <v>6274</v>
      </c>
      <c r="U98" s="3">
        <v>8870</v>
      </c>
      <c r="V98" s="4">
        <v>10395</v>
      </c>
      <c r="W98" s="4">
        <v>9169</v>
      </c>
      <c r="X98" s="17">
        <v>12142</v>
      </c>
      <c r="Y98" s="7">
        <f>53563/29</f>
        <v>1847</v>
      </c>
      <c r="Z98" s="7">
        <f>866961/83</f>
        <v>10445.313253012047</v>
      </c>
      <c r="AB98" s="4"/>
      <c r="AC98" s="4"/>
      <c r="AD98" s="4"/>
      <c r="AE98" s="4"/>
      <c r="AF98" s="12"/>
      <c r="AG98" s="12"/>
      <c r="AH98" s="10"/>
      <c r="AI98" s="10"/>
      <c r="AK98" s="3" t="s">
        <v>8</v>
      </c>
      <c r="AL98" s="3">
        <v>145</v>
      </c>
      <c r="AM98" s="3">
        <v>529</v>
      </c>
      <c r="AN98" s="4">
        <v>295</v>
      </c>
      <c r="AO98" s="4">
        <v>380</v>
      </c>
      <c r="AP98" s="17">
        <v>2163</v>
      </c>
      <c r="AQ98" s="7">
        <f>53563/29</f>
        <v>1847</v>
      </c>
      <c r="AR98" s="7">
        <f>866961/83</f>
        <v>10445.313253012047</v>
      </c>
      <c r="AT98" s="3" t="s">
        <v>8</v>
      </c>
      <c r="AU98" s="3">
        <v>4</v>
      </c>
      <c r="AV98" s="3">
        <v>8</v>
      </c>
      <c r="AW98" s="4">
        <v>8</v>
      </c>
      <c r="AX98" s="4">
        <v>33</v>
      </c>
      <c r="AY98" s="17">
        <v>24</v>
      </c>
      <c r="AZ98" s="7">
        <f>53563/29</f>
        <v>1847</v>
      </c>
      <c r="BA98" s="7">
        <f>866961/83</f>
        <v>10445.313253012047</v>
      </c>
    </row>
    <row r="99" spans="1:53" ht="12.75">
      <c r="A99" s="2" t="s">
        <v>9</v>
      </c>
      <c r="B99" s="3">
        <v>238</v>
      </c>
      <c r="C99" s="3">
        <v>192</v>
      </c>
      <c r="D99" s="4">
        <v>109</v>
      </c>
      <c r="E99" s="4">
        <v>560</v>
      </c>
      <c r="F99" s="17">
        <v>892</v>
      </c>
      <c r="G99" s="7">
        <f>97555/29</f>
        <v>3363.9655172413795</v>
      </c>
      <c r="H99" s="7">
        <f>1515667/83</f>
        <v>18261.048192771083</v>
      </c>
      <c r="J99" s="3" t="s">
        <v>9</v>
      </c>
      <c r="K99" s="3">
        <v>1888</v>
      </c>
      <c r="L99" s="3">
        <v>1608</v>
      </c>
      <c r="M99" s="4">
        <v>2098</v>
      </c>
      <c r="N99" s="4">
        <v>2541</v>
      </c>
      <c r="O99" s="17">
        <v>2582</v>
      </c>
      <c r="P99" s="7">
        <f>97555/29</f>
        <v>3363.9655172413795</v>
      </c>
      <c r="Q99" s="7">
        <f>1515667/83</f>
        <v>18261.048192771083</v>
      </c>
      <c r="S99" s="3" t="s">
        <v>9</v>
      </c>
      <c r="T99" s="3">
        <v>7836</v>
      </c>
      <c r="U99" s="3">
        <v>8202</v>
      </c>
      <c r="V99" s="4">
        <v>9628</v>
      </c>
      <c r="W99" s="4">
        <v>12621</v>
      </c>
      <c r="X99" s="17">
        <v>16812</v>
      </c>
      <c r="Y99" s="7">
        <f>97555/29</f>
        <v>3363.9655172413795</v>
      </c>
      <c r="Z99" s="7">
        <f>1515667/83</f>
        <v>18261.048192771083</v>
      </c>
      <c r="AB99" s="4"/>
      <c r="AC99" s="4"/>
      <c r="AD99" s="4"/>
      <c r="AE99" s="4"/>
      <c r="AF99" s="12"/>
      <c r="AG99" s="12"/>
      <c r="AH99" s="10"/>
      <c r="AI99" s="10"/>
      <c r="AK99" s="3" t="s">
        <v>9</v>
      </c>
      <c r="AL99" s="3">
        <v>3</v>
      </c>
      <c r="AM99" s="9">
        <v>0</v>
      </c>
      <c r="AN99" s="11">
        <v>0</v>
      </c>
      <c r="AO99" s="4">
        <v>150</v>
      </c>
      <c r="AP99" s="17">
        <v>76</v>
      </c>
      <c r="AQ99" s="7">
        <f>97555/29</f>
        <v>3363.9655172413795</v>
      </c>
      <c r="AR99" s="7">
        <f>1515667/83</f>
        <v>18261.048192771083</v>
      </c>
      <c r="AT99" s="3" t="s">
        <v>9</v>
      </c>
      <c r="AU99" s="3">
        <v>10</v>
      </c>
      <c r="AV99" s="3">
        <v>12</v>
      </c>
      <c r="AW99" s="4">
        <v>16</v>
      </c>
      <c r="AX99" s="4">
        <v>16</v>
      </c>
      <c r="AY99" s="17">
        <v>11</v>
      </c>
      <c r="AZ99" s="7">
        <f>97555/29</f>
        <v>3363.9655172413795</v>
      </c>
      <c r="BA99" s="7">
        <f>1515667/83</f>
        <v>18261.048192771083</v>
      </c>
    </row>
    <row r="100" spans="1:53" ht="12.75">
      <c r="A100" s="2"/>
      <c r="B100" s="3"/>
      <c r="C100" s="3"/>
      <c r="D100" s="3"/>
      <c r="E100" s="4"/>
      <c r="F100" s="17"/>
      <c r="G100" s="7"/>
      <c r="H100" s="7"/>
      <c r="J100" s="3"/>
      <c r="K100" s="3"/>
      <c r="L100" s="3"/>
      <c r="M100" s="3"/>
      <c r="N100" s="4"/>
      <c r="O100" s="17"/>
      <c r="P100" s="7"/>
      <c r="Q100" s="7"/>
      <c r="S100" s="3"/>
      <c r="T100" s="3"/>
      <c r="U100" s="3"/>
      <c r="V100" s="3"/>
      <c r="W100" s="4"/>
      <c r="X100" s="17"/>
      <c r="Y100" s="7"/>
      <c r="Z100" s="7"/>
      <c r="AB100" s="4"/>
      <c r="AC100" s="4"/>
      <c r="AD100" s="4"/>
      <c r="AE100" s="4"/>
      <c r="AF100" s="4"/>
      <c r="AG100" s="4"/>
      <c r="AH100" s="10"/>
      <c r="AI100" s="10"/>
      <c r="AK100" s="3"/>
      <c r="AL100" s="3"/>
      <c r="AM100" s="3"/>
      <c r="AN100" s="3"/>
      <c r="AO100" s="4"/>
      <c r="AP100" s="17"/>
      <c r="AQ100" s="7"/>
      <c r="AR100" s="7"/>
      <c r="AT100" s="3"/>
      <c r="AU100" s="3"/>
      <c r="AV100" s="3"/>
      <c r="AW100" s="3"/>
      <c r="AX100" s="4"/>
      <c r="AY100" s="17"/>
      <c r="AZ100" s="7"/>
      <c r="BA100" s="7"/>
    </row>
    <row r="101" spans="1:53" ht="12.75">
      <c r="A101" s="2" t="s">
        <v>10</v>
      </c>
      <c r="B101" s="4">
        <v>42</v>
      </c>
      <c r="C101" s="4">
        <v>36</v>
      </c>
      <c r="D101" s="4">
        <v>30</v>
      </c>
      <c r="E101" s="4">
        <v>35</v>
      </c>
      <c r="F101" s="17">
        <v>154</v>
      </c>
      <c r="G101" s="7">
        <v>421.8965517241379</v>
      </c>
      <c r="H101" s="7">
        <f>184377/83</f>
        <v>2221.409638554217</v>
      </c>
      <c r="J101" s="3" t="s">
        <v>10</v>
      </c>
      <c r="K101" s="4">
        <v>449</v>
      </c>
      <c r="L101" s="4">
        <v>332</v>
      </c>
      <c r="M101" s="4">
        <v>301</v>
      </c>
      <c r="N101" s="4">
        <v>390</v>
      </c>
      <c r="O101" s="17">
        <v>604</v>
      </c>
      <c r="P101" s="7">
        <v>421.8965517241379</v>
      </c>
      <c r="Q101" s="7">
        <f>184377/83</f>
        <v>2221.409638554217</v>
      </c>
      <c r="S101" s="3" t="s">
        <v>10</v>
      </c>
      <c r="T101" s="4">
        <v>1499</v>
      </c>
      <c r="U101" s="4">
        <v>1480</v>
      </c>
      <c r="V101" s="4">
        <v>1558</v>
      </c>
      <c r="W101" s="4">
        <v>1627</v>
      </c>
      <c r="X101" s="17">
        <v>2202</v>
      </c>
      <c r="Y101" s="7">
        <v>421.8965517241379</v>
      </c>
      <c r="Z101" s="7">
        <f>184377/83</f>
        <v>2221.409638554217</v>
      </c>
      <c r="AB101" s="4"/>
      <c r="AC101" s="4"/>
      <c r="AD101" s="4"/>
      <c r="AE101" s="4"/>
      <c r="AF101" s="4"/>
      <c r="AG101" s="4"/>
      <c r="AH101" s="10"/>
      <c r="AI101" s="10"/>
      <c r="AK101" s="3" t="s">
        <v>10</v>
      </c>
      <c r="AL101" s="4">
        <v>24</v>
      </c>
      <c r="AM101" s="4">
        <v>29</v>
      </c>
      <c r="AN101" s="3">
        <v>37</v>
      </c>
      <c r="AO101" s="4">
        <v>40</v>
      </c>
      <c r="AP101" s="17">
        <v>126</v>
      </c>
      <c r="AQ101" s="7">
        <v>421.8965517241379</v>
      </c>
      <c r="AR101" s="7">
        <f>184377/83</f>
        <v>2221.409638554217</v>
      </c>
      <c r="AT101" s="3" t="s">
        <v>10</v>
      </c>
      <c r="AU101" s="4">
        <v>4</v>
      </c>
      <c r="AV101" s="4">
        <v>4</v>
      </c>
      <c r="AW101" s="4">
        <v>3</v>
      </c>
      <c r="AX101" s="4">
        <v>4</v>
      </c>
      <c r="AY101" s="17">
        <v>4</v>
      </c>
      <c r="AZ101" s="7">
        <v>421.8965517241379</v>
      </c>
      <c r="BA101" s="7">
        <f>184377/83</f>
        <v>2221.409638554217</v>
      </c>
    </row>
    <row r="102" spans="1:53" ht="12.75">
      <c r="A102" s="2" t="s">
        <v>11</v>
      </c>
      <c r="B102" s="4">
        <v>10</v>
      </c>
      <c r="C102" s="4">
        <v>4</v>
      </c>
      <c r="D102" s="4">
        <v>3</v>
      </c>
      <c r="E102" s="4">
        <v>4</v>
      </c>
      <c r="F102" s="17">
        <v>-9</v>
      </c>
      <c r="G102" s="7">
        <f>5200/29</f>
        <v>179.31034482758622</v>
      </c>
      <c r="H102" s="7">
        <f>37693/83</f>
        <v>454.13253012048193</v>
      </c>
      <c r="J102" s="3" t="s">
        <v>11</v>
      </c>
      <c r="K102" s="4">
        <v>223</v>
      </c>
      <c r="L102" s="4">
        <v>356</v>
      </c>
      <c r="M102" s="4">
        <v>605</v>
      </c>
      <c r="N102" s="4">
        <v>408</v>
      </c>
      <c r="O102" s="17">
        <v>560</v>
      </c>
      <c r="P102" s="7">
        <f>5200/29</f>
        <v>179.31034482758622</v>
      </c>
      <c r="Q102" s="7">
        <f>37693/83</f>
        <v>454.13253012048193</v>
      </c>
      <c r="S102" s="3" t="s">
        <v>11</v>
      </c>
      <c r="T102" s="4">
        <v>478</v>
      </c>
      <c r="U102" s="4">
        <v>482</v>
      </c>
      <c r="V102" s="4">
        <v>561</v>
      </c>
      <c r="W102" s="4">
        <v>661</v>
      </c>
      <c r="X102" s="17">
        <v>928</v>
      </c>
      <c r="Y102" s="7">
        <f>5200/29</f>
        <v>179.31034482758622</v>
      </c>
      <c r="Z102" s="7">
        <f>37693/83</f>
        <v>454.13253012048193</v>
      </c>
      <c r="AB102" s="4"/>
      <c r="AC102" s="4"/>
      <c r="AD102" s="4"/>
      <c r="AE102" s="4"/>
      <c r="AF102" s="4"/>
      <c r="AG102" s="4"/>
      <c r="AH102" s="10"/>
      <c r="AI102" s="10"/>
      <c r="AK102" s="3" t="s">
        <v>11</v>
      </c>
      <c r="AL102" s="4">
        <v>46</v>
      </c>
      <c r="AM102" s="4">
        <v>27</v>
      </c>
      <c r="AN102" s="4">
        <v>21</v>
      </c>
      <c r="AO102" s="4">
        <v>93</v>
      </c>
      <c r="AP102" s="17">
        <v>101</v>
      </c>
      <c r="AQ102" s="7">
        <f>5200/29</f>
        <v>179.31034482758622</v>
      </c>
      <c r="AR102" s="7">
        <f>37693/83</f>
        <v>454.13253012048193</v>
      </c>
      <c r="AT102" s="3" t="s">
        <v>11</v>
      </c>
      <c r="AU102" s="10">
        <v>0</v>
      </c>
      <c r="AV102" s="10">
        <v>0</v>
      </c>
      <c r="AW102" s="10">
        <v>0</v>
      </c>
      <c r="AX102" s="4">
        <v>0</v>
      </c>
      <c r="AY102" s="17">
        <v>6</v>
      </c>
      <c r="AZ102" s="7">
        <f>5200/29</f>
        <v>179.31034482758622</v>
      </c>
      <c r="BA102" s="7">
        <f>37693/83</f>
        <v>454.13253012048193</v>
      </c>
    </row>
    <row r="103" spans="1:53" ht="12.75">
      <c r="A103" s="2" t="s">
        <v>12</v>
      </c>
      <c r="B103" s="4">
        <v>26</v>
      </c>
      <c r="C103" s="4">
        <v>17</v>
      </c>
      <c r="D103" s="4">
        <v>14</v>
      </c>
      <c r="E103" s="4">
        <v>9</v>
      </c>
      <c r="F103" s="17">
        <v>60</v>
      </c>
      <c r="G103" s="7">
        <f>5149/29</f>
        <v>177.55172413793105</v>
      </c>
      <c r="H103" s="7">
        <f>106836/83</f>
        <v>1287.1807228915663</v>
      </c>
      <c r="J103" s="3" t="s">
        <v>12</v>
      </c>
      <c r="K103" s="4">
        <v>243</v>
      </c>
      <c r="L103" s="4">
        <v>177</v>
      </c>
      <c r="M103" s="4">
        <v>228</v>
      </c>
      <c r="N103" s="4">
        <v>305</v>
      </c>
      <c r="O103" s="17">
        <v>368</v>
      </c>
      <c r="P103" s="7">
        <f>5149/29</f>
        <v>177.55172413793105</v>
      </c>
      <c r="Q103" s="7">
        <f>106836/83</f>
        <v>1287.1807228915663</v>
      </c>
      <c r="S103" s="3" t="s">
        <v>12</v>
      </c>
      <c r="T103" s="4">
        <v>997</v>
      </c>
      <c r="U103" s="4">
        <v>878</v>
      </c>
      <c r="V103" s="4">
        <v>723</v>
      </c>
      <c r="W103" s="4">
        <v>644</v>
      </c>
      <c r="X103" s="17">
        <v>828</v>
      </c>
      <c r="Y103" s="7">
        <f>5149/29</f>
        <v>177.55172413793105</v>
      </c>
      <c r="Z103" s="7">
        <f>106836/83</f>
        <v>1287.1807228915663</v>
      </c>
      <c r="AB103" s="4"/>
      <c r="AC103" s="4"/>
      <c r="AD103" s="4"/>
      <c r="AE103" s="4"/>
      <c r="AF103" s="12"/>
      <c r="AG103" s="12"/>
      <c r="AH103" s="10"/>
      <c r="AI103" s="10"/>
      <c r="AK103" s="3" t="s">
        <v>12</v>
      </c>
      <c r="AL103" s="4">
        <v>11</v>
      </c>
      <c r="AM103" s="4">
        <v>8</v>
      </c>
      <c r="AN103" s="4">
        <v>9</v>
      </c>
      <c r="AO103" s="4">
        <v>16</v>
      </c>
      <c r="AP103" s="17">
        <v>52</v>
      </c>
      <c r="AQ103" s="7">
        <f>5149/29</f>
        <v>177.55172413793105</v>
      </c>
      <c r="AR103" s="7">
        <f>106836/83</f>
        <v>1287.1807228915663</v>
      </c>
      <c r="AT103" s="3" t="s">
        <v>12</v>
      </c>
      <c r="AU103" s="10">
        <v>0</v>
      </c>
      <c r="AV103" s="10">
        <v>0</v>
      </c>
      <c r="AW103" s="10">
        <v>0</v>
      </c>
      <c r="AX103" s="4">
        <v>1</v>
      </c>
      <c r="AY103" s="17">
        <v>1</v>
      </c>
      <c r="AZ103" s="7">
        <f>5149/29</f>
        <v>177.55172413793105</v>
      </c>
      <c r="BA103" s="7">
        <f>106836/83</f>
        <v>1287.1807228915663</v>
      </c>
    </row>
    <row r="104" spans="1:53" ht="12.75">
      <c r="A104" s="2" t="s">
        <v>13</v>
      </c>
      <c r="B104" s="4">
        <v>8</v>
      </c>
      <c r="C104" s="4">
        <v>8</v>
      </c>
      <c r="D104" s="4">
        <v>7</v>
      </c>
      <c r="E104" s="4">
        <v>18</v>
      </c>
      <c r="F104" s="17">
        <v>39</v>
      </c>
      <c r="G104" s="7">
        <f>5624/29</f>
        <v>193.93103448275863</v>
      </c>
      <c r="H104" s="7">
        <f>58664/83</f>
        <v>706.7951807228916</v>
      </c>
      <c r="J104" s="3" t="s">
        <v>13</v>
      </c>
      <c r="K104" s="4">
        <v>189</v>
      </c>
      <c r="L104" s="4">
        <v>164</v>
      </c>
      <c r="M104" s="4">
        <v>172</v>
      </c>
      <c r="N104" s="4">
        <v>275</v>
      </c>
      <c r="O104" s="17">
        <v>471</v>
      </c>
      <c r="P104" s="7">
        <f>5624/29</f>
        <v>193.93103448275863</v>
      </c>
      <c r="Q104" s="7">
        <f>58664/83</f>
        <v>706.7951807228916</v>
      </c>
      <c r="S104" s="3" t="s">
        <v>13</v>
      </c>
      <c r="T104" s="4">
        <v>502</v>
      </c>
      <c r="U104" s="4">
        <v>614</v>
      </c>
      <c r="V104" s="4">
        <v>624</v>
      </c>
      <c r="W104" s="4">
        <v>698</v>
      </c>
      <c r="X104" s="17">
        <v>1025</v>
      </c>
      <c r="Y104" s="7">
        <f>5624/29</f>
        <v>193.93103448275863</v>
      </c>
      <c r="Z104" s="7">
        <f>58664/83</f>
        <v>706.7951807228916</v>
      </c>
      <c r="AB104" s="4"/>
      <c r="AC104" s="4"/>
      <c r="AD104" s="4"/>
      <c r="AE104" s="4"/>
      <c r="AF104" s="4"/>
      <c r="AG104" s="4"/>
      <c r="AH104" s="10"/>
      <c r="AI104" s="10"/>
      <c r="AK104" s="3" t="s">
        <v>13</v>
      </c>
      <c r="AL104" s="4">
        <v>27</v>
      </c>
      <c r="AM104" s="4">
        <v>17</v>
      </c>
      <c r="AN104" s="4">
        <v>23</v>
      </c>
      <c r="AO104" s="4">
        <v>27</v>
      </c>
      <c r="AP104" s="17">
        <v>42</v>
      </c>
      <c r="AQ104" s="7">
        <f>5624/29</f>
        <v>193.93103448275863</v>
      </c>
      <c r="AR104" s="7">
        <f>58664/83</f>
        <v>706.7951807228916</v>
      </c>
      <c r="AT104" s="3" t="s">
        <v>13</v>
      </c>
      <c r="AU104" s="4">
        <v>2</v>
      </c>
      <c r="AV104" s="4">
        <v>2</v>
      </c>
      <c r="AW104" s="4">
        <v>2</v>
      </c>
      <c r="AX104" s="4">
        <v>2</v>
      </c>
      <c r="AY104" s="17">
        <v>3</v>
      </c>
      <c r="AZ104" s="7">
        <f>5624/29</f>
        <v>193.93103448275863</v>
      </c>
      <c r="BA104" s="7">
        <f>58664/83</f>
        <v>706.7951807228916</v>
      </c>
    </row>
    <row r="105" spans="1:53" ht="12.75">
      <c r="A105" s="2"/>
      <c r="B105" s="3"/>
      <c r="C105" s="3"/>
      <c r="D105" s="3"/>
      <c r="E105" s="4"/>
      <c r="F105" s="17"/>
      <c r="G105" s="3"/>
      <c r="H105" s="3"/>
      <c r="J105" s="3"/>
      <c r="K105" s="3"/>
      <c r="L105" s="3"/>
      <c r="M105" s="3"/>
      <c r="N105" s="4"/>
      <c r="O105" s="17"/>
      <c r="P105" s="3"/>
      <c r="Q105" s="3"/>
      <c r="S105" s="3"/>
      <c r="T105" s="3"/>
      <c r="U105" s="3"/>
      <c r="V105" s="3"/>
      <c r="W105" s="4"/>
      <c r="X105" s="17"/>
      <c r="Y105" s="3"/>
      <c r="Z105" s="3"/>
      <c r="AB105" s="4"/>
      <c r="AC105" s="4"/>
      <c r="AD105" s="4"/>
      <c r="AE105" s="4"/>
      <c r="AF105" s="4"/>
      <c r="AG105" s="4"/>
      <c r="AH105" s="4"/>
      <c r="AI105" s="4"/>
      <c r="AK105" s="3"/>
      <c r="AL105" s="3"/>
      <c r="AM105" s="3"/>
      <c r="AN105" s="3"/>
      <c r="AO105" s="4"/>
      <c r="AP105" s="17"/>
      <c r="AQ105" s="3"/>
      <c r="AR105" s="3"/>
      <c r="AT105" s="3"/>
      <c r="AU105" s="3"/>
      <c r="AV105" s="3"/>
      <c r="AW105" s="3"/>
      <c r="AX105" s="4"/>
      <c r="AY105" s="17"/>
      <c r="AZ105" s="3"/>
      <c r="BA105" s="3"/>
    </row>
    <row r="106" spans="1:53" ht="12.75">
      <c r="A106" s="48" t="s">
        <v>14</v>
      </c>
      <c r="B106" s="5">
        <v>6.23</v>
      </c>
      <c r="C106" s="5">
        <v>4.99</v>
      </c>
      <c r="D106" s="5">
        <v>4.35</v>
      </c>
      <c r="E106" s="5">
        <v>1.56</v>
      </c>
      <c r="F106" s="18">
        <v>4.33</v>
      </c>
      <c r="G106" s="5">
        <v>3.61</v>
      </c>
      <c r="H106" s="5">
        <v>4.35</v>
      </c>
      <c r="I106" s="6"/>
      <c r="J106" s="6" t="s">
        <v>14</v>
      </c>
      <c r="K106" s="5">
        <v>5.34</v>
      </c>
      <c r="L106" s="5">
        <v>3.87</v>
      </c>
      <c r="M106" s="5">
        <v>3.83</v>
      </c>
      <c r="N106" s="5">
        <v>3.85</v>
      </c>
      <c r="O106" s="18">
        <v>4.1</v>
      </c>
      <c r="P106" s="5">
        <v>3.61</v>
      </c>
      <c r="Q106" s="5">
        <v>4.35</v>
      </c>
      <c r="R106" s="6"/>
      <c r="S106" s="6" t="s">
        <v>14</v>
      </c>
      <c r="T106" s="5">
        <v>6.65</v>
      </c>
      <c r="U106" s="5">
        <v>5.32</v>
      </c>
      <c r="V106" s="5">
        <v>3.98</v>
      </c>
      <c r="W106" s="5">
        <v>3.03</v>
      </c>
      <c r="X106" s="18">
        <v>3.25</v>
      </c>
      <c r="Y106" s="5">
        <v>3.61</v>
      </c>
      <c r="Z106" s="5">
        <v>4.35</v>
      </c>
      <c r="AA106" s="6"/>
      <c r="AB106" s="5"/>
      <c r="AC106" s="5"/>
      <c r="AD106" s="5"/>
      <c r="AE106" s="5"/>
      <c r="AF106" s="5"/>
      <c r="AG106" s="5"/>
      <c r="AH106" s="5"/>
      <c r="AI106" s="5"/>
      <c r="AJ106" s="6"/>
      <c r="AK106" s="6" t="s">
        <v>14</v>
      </c>
      <c r="AL106" s="5">
        <v>6.34</v>
      </c>
      <c r="AM106" s="5">
        <v>1.79</v>
      </c>
      <c r="AN106" s="5">
        <v>1.98</v>
      </c>
      <c r="AO106" s="5">
        <v>2.19</v>
      </c>
      <c r="AP106" s="18">
        <v>2.68</v>
      </c>
      <c r="AQ106" s="5">
        <v>3.61</v>
      </c>
      <c r="AR106" s="5">
        <v>4.35</v>
      </c>
      <c r="AS106" s="6"/>
      <c r="AT106" s="6" t="s">
        <v>14</v>
      </c>
      <c r="AU106" s="5">
        <v>3.83</v>
      </c>
      <c r="AV106" s="5">
        <v>1.83</v>
      </c>
      <c r="AW106" s="5">
        <v>1.71</v>
      </c>
      <c r="AX106" s="5">
        <v>2.21</v>
      </c>
      <c r="AY106" s="18">
        <v>1.98</v>
      </c>
      <c r="AZ106" s="5">
        <v>3.61</v>
      </c>
      <c r="BA106" s="5">
        <v>4.35</v>
      </c>
    </row>
    <row r="107" spans="1:53" ht="12.75">
      <c r="A107" s="48" t="s">
        <v>18</v>
      </c>
      <c r="B107" s="5">
        <v>7.1</v>
      </c>
      <c r="C107" s="5">
        <v>6.73</v>
      </c>
      <c r="D107" s="6">
        <v>5.19</v>
      </c>
      <c r="E107" s="5">
        <v>1.72</v>
      </c>
      <c r="F107" s="18">
        <v>-0.45</v>
      </c>
      <c r="G107" s="5">
        <v>4.93</v>
      </c>
      <c r="H107" s="5">
        <v>3.79</v>
      </c>
      <c r="I107" s="6"/>
      <c r="J107" s="6" t="s">
        <v>18</v>
      </c>
      <c r="K107" s="5">
        <v>4.43</v>
      </c>
      <c r="L107" s="5">
        <v>4.65</v>
      </c>
      <c r="M107" s="6">
        <v>1.17</v>
      </c>
      <c r="N107" s="5">
        <v>1.52</v>
      </c>
      <c r="O107" s="18">
        <v>1.97</v>
      </c>
      <c r="P107" s="5">
        <v>4.93</v>
      </c>
      <c r="Q107" s="5">
        <v>3.79</v>
      </c>
      <c r="R107" s="6"/>
      <c r="S107" s="6" t="s">
        <v>18</v>
      </c>
      <c r="T107" s="5">
        <v>3.45</v>
      </c>
      <c r="U107" s="5">
        <v>4.28</v>
      </c>
      <c r="V107" s="6">
        <v>4.42</v>
      </c>
      <c r="W107" s="5">
        <v>4.83</v>
      </c>
      <c r="X107" s="18">
        <v>5.47</v>
      </c>
      <c r="Y107" s="5">
        <v>4.93</v>
      </c>
      <c r="Z107" s="5">
        <v>3.79</v>
      </c>
      <c r="AA107" s="6"/>
      <c r="AB107" s="5"/>
      <c r="AC107" s="5"/>
      <c r="AD107" s="5"/>
      <c r="AE107" s="5"/>
      <c r="AF107" s="5"/>
      <c r="AG107" s="5"/>
      <c r="AH107" s="5"/>
      <c r="AI107" s="5"/>
      <c r="AJ107" s="6"/>
      <c r="AK107" s="6" t="s">
        <v>18</v>
      </c>
      <c r="AL107" s="5">
        <v>44.58</v>
      </c>
      <c r="AM107" s="6">
        <v>0</v>
      </c>
      <c r="AN107" s="6">
        <v>0</v>
      </c>
      <c r="AO107" s="5">
        <v>-2.09</v>
      </c>
      <c r="AP107" s="18">
        <v>-2.65</v>
      </c>
      <c r="AQ107" s="5">
        <v>4.93</v>
      </c>
      <c r="AR107" s="5">
        <v>3.79</v>
      </c>
      <c r="AS107" s="6"/>
      <c r="AT107" s="6" t="s">
        <v>18</v>
      </c>
      <c r="AU107" s="5">
        <v>4.58</v>
      </c>
      <c r="AV107" s="5">
        <v>5.88</v>
      </c>
      <c r="AW107" s="6">
        <v>8.09</v>
      </c>
      <c r="AX107" s="5">
        <v>6.25</v>
      </c>
      <c r="AY107" s="18">
        <v>4.76</v>
      </c>
      <c r="AZ107" s="5">
        <v>4.93</v>
      </c>
      <c r="BA107" s="5">
        <v>3.79</v>
      </c>
    </row>
    <row r="108" spans="1:53" ht="12.75">
      <c r="A108" s="48" t="s">
        <v>54</v>
      </c>
      <c r="B108" s="5">
        <v>9.59</v>
      </c>
      <c r="C108" s="5">
        <v>14.68</v>
      </c>
      <c r="D108" s="5">
        <v>17.17</v>
      </c>
      <c r="E108" s="5">
        <v>38.56</v>
      </c>
      <c r="F108" s="18">
        <v>22.76</v>
      </c>
      <c r="G108" s="5">
        <v>18.35</v>
      </c>
      <c r="H108" s="5">
        <v>20.17</v>
      </c>
      <c r="I108" s="6"/>
      <c r="J108" s="6" t="s">
        <v>54</v>
      </c>
      <c r="K108" s="5">
        <v>14.66</v>
      </c>
      <c r="L108" s="5">
        <v>18.04</v>
      </c>
      <c r="M108" s="5">
        <v>15.89</v>
      </c>
      <c r="N108" s="5">
        <v>13.17</v>
      </c>
      <c r="O108" s="18">
        <v>17.8</v>
      </c>
      <c r="P108" s="5">
        <v>18.35</v>
      </c>
      <c r="Q108" s="5">
        <v>20.17</v>
      </c>
      <c r="R108" s="6"/>
      <c r="S108" s="6" t="s">
        <v>54</v>
      </c>
      <c r="T108" s="5">
        <v>10.31</v>
      </c>
      <c r="U108" s="5">
        <v>15.69</v>
      </c>
      <c r="V108" s="5">
        <v>17.18</v>
      </c>
      <c r="W108" s="5">
        <v>19.02</v>
      </c>
      <c r="X108" s="18">
        <v>22.77</v>
      </c>
      <c r="Y108" s="5">
        <v>18.35</v>
      </c>
      <c r="Z108" s="5">
        <v>20.17</v>
      </c>
      <c r="AA108" s="6"/>
      <c r="AB108" s="5"/>
      <c r="AC108" s="5"/>
      <c r="AD108" s="5"/>
      <c r="AE108" s="5"/>
      <c r="AF108" s="5"/>
      <c r="AG108" s="5"/>
      <c r="AH108" s="5"/>
      <c r="AI108" s="5"/>
      <c r="AJ108" s="6"/>
      <c r="AK108" s="6" t="s">
        <v>54</v>
      </c>
      <c r="AL108" s="5">
        <v>30.29</v>
      </c>
      <c r="AM108" s="5">
        <v>39.26</v>
      </c>
      <c r="AN108" s="5">
        <v>38.39</v>
      </c>
      <c r="AO108" s="5">
        <v>30.27</v>
      </c>
      <c r="AP108" s="18">
        <v>20.98</v>
      </c>
      <c r="AQ108" s="5">
        <v>18.35</v>
      </c>
      <c r="AR108" s="5">
        <v>20.17</v>
      </c>
      <c r="AS108" s="6"/>
      <c r="AT108" s="6" t="s">
        <v>54</v>
      </c>
      <c r="AU108" s="5">
        <v>20.18</v>
      </c>
      <c r="AV108" s="5">
        <v>19.71</v>
      </c>
      <c r="AW108" s="5">
        <v>21.38</v>
      </c>
      <c r="AX108" s="5">
        <v>19.91</v>
      </c>
      <c r="AY108" s="18">
        <v>16.45</v>
      </c>
      <c r="AZ108" s="5">
        <v>18.35</v>
      </c>
      <c r="BA108" s="5">
        <v>20.17</v>
      </c>
    </row>
    <row r="109" spans="1:53" ht="12.75">
      <c r="A109" s="2"/>
      <c r="B109" s="3"/>
      <c r="C109" s="3"/>
      <c r="D109" s="3"/>
      <c r="E109" s="4"/>
      <c r="F109" s="17"/>
      <c r="G109" s="3"/>
      <c r="H109" s="3"/>
      <c r="J109" s="3"/>
      <c r="K109" s="3"/>
      <c r="L109" s="3"/>
      <c r="M109" s="3"/>
      <c r="N109" s="4"/>
      <c r="O109" s="17"/>
      <c r="P109" s="6"/>
      <c r="Q109" s="6"/>
      <c r="S109" s="3"/>
      <c r="T109" s="3"/>
      <c r="U109" s="3"/>
      <c r="V109" s="3"/>
      <c r="W109" s="4"/>
      <c r="X109" s="17"/>
      <c r="Y109" s="6"/>
      <c r="Z109" s="6"/>
      <c r="AB109" s="4"/>
      <c r="AC109" s="4"/>
      <c r="AD109" s="4"/>
      <c r="AE109" s="4"/>
      <c r="AF109" s="4"/>
      <c r="AG109" s="4"/>
      <c r="AH109" s="4"/>
      <c r="AI109" s="4"/>
      <c r="AK109" s="3"/>
      <c r="AL109" s="3"/>
      <c r="AM109" s="3"/>
      <c r="AN109" s="3"/>
      <c r="AO109" s="4"/>
      <c r="AP109" s="17"/>
      <c r="AQ109" s="6"/>
      <c r="AR109" s="6"/>
      <c r="AT109" s="3"/>
      <c r="AU109" s="3"/>
      <c r="AV109" s="3"/>
      <c r="AW109" s="3"/>
      <c r="AX109" s="4"/>
      <c r="AY109" s="17"/>
      <c r="AZ109" s="6"/>
      <c r="BA109" s="6"/>
    </row>
    <row r="110" spans="1:53" ht="12.75">
      <c r="A110" s="48" t="s">
        <v>15</v>
      </c>
      <c r="B110" s="5">
        <v>2.01</v>
      </c>
      <c r="C110" s="5">
        <v>2.01</v>
      </c>
      <c r="D110" s="5">
        <v>-1.69</v>
      </c>
      <c r="E110" s="5">
        <v>0.89</v>
      </c>
      <c r="F110" s="18">
        <v>0.73</v>
      </c>
      <c r="G110" s="5">
        <v>2.09</v>
      </c>
      <c r="H110" s="5">
        <v>1</v>
      </c>
      <c r="I110" s="6"/>
      <c r="J110" s="6" t="s">
        <v>15</v>
      </c>
      <c r="K110" s="5">
        <v>2.24</v>
      </c>
      <c r="L110" s="5">
        <v>2.92</v>
      </c>
      <c r="M110" s="5">
        <v>3.17</v>
      </c>
      <c r="N110" s="5">
        <v>0.72</v>
      </c>
      <c r="O110" s="18">
        <v>1.04</v>
      </c>
      <c r="P110" s="5">
        <v>2.09</v>
      </c>
      <c r="Q110" s="5">
        <v>1</v>
      </c>
      <c r="R110" s="6"/>
      <c r="S110" s="6" t="s">
        <v>15</v>
      </c>
      <c r="T110" s="5">
        <v>0.87</v>
      </c>
      <c r="U110" s="5">
        <v>0.8</v>
      </c>
      <c r="V110" s="5">
        <v>0.78</v>
      </c>
      <c r="W110" s="5">
        <v>1.27</v>
      </c>
      <c r="X110" s="18">
        <v>1.58</v>
      </c>
      <c r="Y110" s="5">
        <v>2.09</v>
      </c>
      <c r="Z110" s="5">
        <v>1</v>
      </c>
      <c r="AA110" s="6"/>
      <c r="AB110" s="5"/>
      <c r="AC110" s="5"/>
      <c r="AD110" s="5"/>
      <c r="AE110" s="5"/>
      <c r="AF110" s="5"/>
      <c r="AG110" s="5"/>
      <c r="AH110" s="5"/>
      <c r="AI110" s="5"/>
      <c r="AJ110" s="6"/>
      <c r="AK110" s="6" t="s">
        <v>15</v>
      </c>
      <c r="AL110" s="5">
        <v>3.18</v>
      </c>
      <c r="AM110" s="5">
        <v>3.1</v>
      </c>
      <c r="AN110" s="5">
        <v>2.34</v>
      </c>
      <c r="AO110" s="5">
        <v>3.58</v>
      </c>
      <c r="AP110" s="18">
        <v>2.53</v>
      </c>
      <c r="AQ110" s="5">
        <v>2.09</v>
      </c>
      <c r="AR110" s="5">
        <v>1</v>
      </c>
      <c r="AS110" s="6"/>
      <c r="AT110" s="6" t="s">
        <v>15</v>
      </c>
      <c r="AU110" s="5">
        <v>0.03</v>
      </c>
      <c r="AV110" s="5">
        <v>-0.73</v>
      </c>
      <c r="AW110" s="5">
        <v>1.37</v>
      </c>
      <c r="AX110" s="5">
        <v>0.03</v>
      </c>
      <c r="AY110" s="18">
        <v>5.37</v>
      </c>
      <c r="AZ110" s="5">
        <v>2.09</v>
      </c>
      <c r="BA110" s="5">
        <v>1</v>
      </c>
    </row>
    <row r="111" spans="1:53" ht="12.75">
      <c r="A111" s="48" t="s">
        <v>16</v>
      </c>
      <c r="B111" s="5">
        <v>13.31</v>
      </c>
      <c r="C111" s="5">
        <v>15.98</v>
      </c>
      <c r="D111" s="5">
        <v>55.49</v>
      </c>
      <c r="E111" s="5">
        <v>35.06</v>
      </c>
      <c r="F111" s="18">
        <v>31.33</v>
      </c>
      <c r="G111" s="5">
        <v>12.58</v>
      </c>
      <c r="H111" s="6">
        <v>12.24</v>
      </c>
      <c r="I111" s="6"/>
      <c r="J111" s="6" t="s">
        <v>16</v>
      </c>
      <c r="K111" s="5">
        <v>14.55</v>
      </c>
      <c r="L111" s="5">
        <v>17.35</v>
      </c>
      <c r="M111" s="5">
        <v>14.42</v>
      </c>
      <c r="N111" s="5">
        <v>16.22</v>
      </c>
      <c r="O111" s="18">
        <v>12.74</v>
      </c>
      <c r="P111" s="5">
        <v>12.58</v>
      </c>
      <c r="Q111" s="6">
        <v>12.24</v>
      </c>
      <c r="R111" s="6"/>
      <c r="S111" s="6" t="s">
        <v>16</v>
      </c>
      <c r="T111" s="5">
        <v>10.92</v>
      </c>
      <c r="U111" s="5">
        <v>18.1</v>
      </c>
      <c r="V111" s="5">
        <v>14.54</v>
      </c>
      <c r="W111" s="5">
        <v>14.03</v>
      </c>
      <c r="X111" s="18">
        <v>10.61</v>
      </c>
      <c r="Y111" s="5">
        <v>12.58</v>
      </c>
      <c r="Z111" s="6">
        <v>12.24</v>
      </c>
      <c r="AA111" s="6"/>
      <c r="AB111" s="5"/>
      <c r="AC111" s="5"/>
      <c r="AD111" s="5"/>
      <c r="AE111" s="5"/>
      <c r="AF111" s="5"/>
      <c r="AG111" s="5"/>
      <c r="AH111" s="5"/>
      <c r="AI111" s="5"/>
      <c r="AJ111" s="6"/>
      <c r="AK111" s="6" t="s">
        <v>16</v>
      </c>
      <c r="AL111" s="5">
        <v>85.88</v>
      </c>
      <c r="AM111" s="5">
        <v>72.95</v>
      </c>
      <c r="AN111" s="5">
        <v>34.83</v>
      </c>
      <c r="AO111" s="5">
        <v>10.19</v>
      </c>
      <c r="AP111" s="18">
        <v>11.76</v>
      </c>
      <c r="AQ111" s="5">
        <v>12.58</v>
      </c>
      <c r="AR111" s="6">
        <v>12.24</v>
      </c>
      <c r="AS111" s="6"/>
      <c r="AT111" s="6" t="s">
        <v>16</v>
      </c>
      <c r="AU111" s="5">
        <v>167.65</v>
      </c>
      <c r="AV111" s="5">
        <v>119.88</v>
      </c>
      <c r="AW111" s="5">
        <v>115.98</v>
      </c>
      <c r="AX111" s="5">
        <v>99.59</v>
      </c>
      <c r="AY111" s="18">
        <v>133.53</v>
      </c>
      <c r="AZ111" s="5">
        <v>12.58</v>
      </c>
      <c r="BA111" s="6">
        <v>12.24</v>
      </c>
    </row>
    <row r="112" spans="1:53" ht="12.75">
      <c r="A112" s="48" t="s">
        <v>17</v>
      </c>
      <c r="B112" s="6">
        <v>0</v>
      </c>
      <c r="C112" s="6">
        <v>10.37</v>
      </c>
      <c r="D112" s="6">
        <v>0</v>
      </c>
      <c r="E112" s="5">
        <v>0</v>
      </c>
      <c r="F112" s="18">
        <v>0</v>
      </c>
      <c r="G112" s="5">
        <v>0.78</v>
      </c>
      <c r="H112" s="5">
        <v>1.22</v>
      </c>
      <c r="I112" s="6"/>
      <c r="J112" s="6" t="s">
        <v>17</v>
      </c>
      <c r="K112" s="31">
        <v>0</v>
      </c>
      <c r="L112" s="6">
        <v>0</v>
      </c>
      <c r="M112" s="6">
        <v>0</v>
      </c>
      <c r="N112" s="5">
        <v>0</v>
      </c>
      <c r="O112" s="18">
        <v>0</v>
      </c>
      <c r="P112" s="5">
        <v>0.78</v>
      </c>
      <c r="Q112" s="5">
        <v>1.22</v>
      </c>
      <c r="R112" s="6"/>
      <c r="S112" s="6" t="s">
        <v>17</v>
      </c>
      <c r="T112" s="6">
        <v>2.27</v>
      </c>
      <c r="U112" s="6">
        <v>1.03</v>
      </c>
      <c r="V112" s="6">
        <v>0.7</v>
      </c>
      <c r="W112" s="5">
        <v>0.5</v>
      </c>
      <c r="X112" s="18">
        <v>0.58</v>
      </c>
      <c r="Y112" s="5">
        <v>0.78</v>
      </c>
      <c r="Z112" s="5">
        <v>1.22</v>
      </c>
      <c r="AA112" s="6"/>
      <c r="AB112" s="5"/>
      <c r="AC112" s="5"/>
      <c r="AD112" s="45"/>
      <c r="AE112" s="5"/>
      <c r="AF112" s="5"/>
      <c r="AG112" s="5"/>
      <c r="AH112" s="5"/>
      <c r="AI112" s="5"/>
      <c r="AJ112" s="6"/>
      <c r="AK112" s="6" t="s">
        <v>17</v>
      </c>
      <c r="AL112" s="35">
        <v>0</v>
      </c>
      <c r="AM112" s="35">
        <v>0</v>
      </c>
      <c r="AN112" s="35">
        <v>0</v>
      </c>
      <c r="AO112" s="46">
        <v>0</v>
      </c>
      <c r="AP112" s="38">
        <v>0</v>
      </c>
      <c r="AQ112" s="5">
        <v>0.78</v>
      </c>
      <c r="AR112" s="5">
        <v>1.22</v>
      </c>
      <c r="AS112" s="6"/>
      <c r="AT112" s="6" t="s">
        <v>17</v>
      </c>
      <c r="AU112" s="6">
        <v>35.36</v>
      </c>
      <c r="AV112" s="6">
        <v>0</v>
      </c>
      <c r="AW112" s="6">
        <v>0</v>
      </c>
      <c r="AX112" s="5">
        <v>0</v>
      </c>
      <c r="AY112" s="18">
        <v>0</v>
      </c>
      <c r="AZ112" s="5">
        <v>0.78</v>
      </c>
      <c r="BA112" s="5">
        <v>1.22</v>
      </c>
    </row>
    <row r="113" spans="1:53" ht="12.75">
      <c r="A113" s="3"/>
      <c r="B113" s="3"/>
      <c r="C113" s="3"/>
      <c r="D113" s="3"/>
      <c r="E113" s="3"/>
      <c r="F113" s="3"/>
      <c r="G113" s="3"/>
      <c r="H113" s="3"/>
      <c r="J113" s="3"/>
      <c r="K113" s="3"/>
      <c r="L113" s="3"/>
      <c r="M113" s="3"/>
      <c r="N113" s="3"/>
      <c r="O113" s="3"/>
      <c r="P113" s="4"/>
      <c r="Q113" s="3"/>
      <c r="S113" s="3"/>
      <c r="T113" s="3"/>
      <c r="U113" s="3"/>
      <c r="V113" s="3"/>
      <c r="W113" s="3"/>
      <c r="X113" s="3"/>
      <c r="Y113" s="3"/>
      <c r="Z113" s="3"/>
      <c r="AB113" s="3"/>
      <c r="AC113" s="3"/>
      <c r="AD113" s="3"/>
      <c r="AE113" s="3"/>
      <c r="AF113" s="3"/>
      <c r="AG113" s="3"/>
      <c r="AH113" s="3"/>
      <c r="AI113" s="3"/>
      <c r="AK113" s="3"/>
      <c r="AL113" s="3"/>
      <c r="AM113" s="3"/>
      <c r="AN113" s="3"/>
      <c r="AO113" s="3"/>
      <c r="AP113" s="3"/>
      <c r="AQ113" s="3"/>
      <c r="AR113" s="3"/>
      <c r="AT113" s="3"/>
      <c r="AU113" s="3"/>
      <c r="AV113" s="3"/>
      <c r="AW113" s="3"/>
      <c r="AX113" s="3"/>
      <c r="AY113" s="3"/>
      <c r="AZ113" s="3"/>
      <c r="BA113" s="3"/>
    </row>
    <row r="115" spans="1:53" ht="12.75">
      <c r="A115" s="26" t="s">
        <v>29</v>
      </c>
      <c r="B115" s="27"/>
      <c r="C115" s="27"/>
      <c r="D115" s="27"/>
      <c r="E115" s="27"/>
      <c r="F115" s="27"/>
      <c r="G115" s="27"/>
      <c r="H115" s="26" t="s">
        <v>41</v>
      </c>
      <c r="J115" s="26" t="s">
        <v>29</v>
      </c>
      <c r="K115" s="27"/>
      <c r="L115" s="27"/>
      <c r="M115" s="27"/>
      <c r="N115" s="27"/>
      <c r="O115" s="27"/>
      <c r="P115" s="26" t="s">
        <v>87</v>
      </c>
      <c r="Q115" s="27"/>
      <c r="S115" s="26" t="s">
        <v>29</v>
      </c>
      <c r="T115" s="27"/>
      <c r="U115" s="27"/>
      <c r="V115" s="27"/>
      <c r="W115" s="27"/>
      <c r="X115" s="27"/>
      <c r="Y115" s="26" t="s">
        <v>88</v>
      </c>
      <c r="Z115" s="27"/>
      <c r="AB115" s="26" t="s">
        <v>29</v>
      </c>
      <c r="AC115" s="27"/>
      <c r="AD115" s="27"/>
      <c r="AE115" s="27"/>
      <c r="AF115" s="27"/>
      <c r="AG115" s="27"/>
      <c r="AH115" s="27"/>
      <c r="AI115" s="26" t="s">
        <v>42</v>
      </c>
      <c r="AK115" s="26" t="s">
        <v>29</v>
      </c>
      <c r="AL115" s="27"/>
      <c r="AM115" s="27"/>
      <c r="AN115" s="27"/>
      <c r="AO115" s="27"/>
      <c r="AP115" s="27"/>
      <c r="AQ115" s="27"/>
      <c r="AR115" s="26" t="s">
        <v>89</v>
      </c>
      <c r="AT115" s="26" t="s">
        <v>29</v>
      </c>
      <c r="AU115" s="27"/>
      <c r="AV115" s="27"/>
      <c r="AW115" s="27"/>
      <c r="AX115" s="27"/>
      <c r="AY115" s="27"/>
      <c r="AZ115" s="26" t="s">
        <v>90</v>
      </c>
      <c r="BA115" s="27"/>
    </row>
    <row r="116" spans="1:53" ht="12.75">
      <c r="A116" s="3"/>
      <c r="B116" s="3"/>
      <c r="C116" s="3"/>
      <c r="D116" s="3"/>
      <c r="E116" s="3"/>
      <c r="F116" s="3"/>
      <c r="G116" s="34"/>
      <c r="H116" s="36" t="s">
        <v>19</v>
      </c>
      <c r="J116" s="3"/>
      <c r="K116" s="3"/>
      <c r="L116" s="3"/>
      <c r="M116" s="3"/>
      <c r="N116" s="3"/>
      <c r="O116" s="3"/>
      <c r="P116" s="34"/>
      <c r="Q116" s="36" t="s">
        <v>19</v>
      </c>
      <c r="S116" s="3"/>
      <c r="T116" s="3"/>
      <c r="U116" s="3"/>
      <c r="V116" s="3"/>
      <c r="W116" s="3"/>
      <c r="X116" s="3"/>
      <c r="Y116" s="34"/>
      <c r="Z116" s="36" t="s">
        <v>19</v>
      </c>
      <c r="AB116" s="3"/>
      <c r="AC116" s="3"/>
      <c r="AD116" s="3"/>
      <c r="AE116" s="3"/>
      <c r="AF116" s="3"/>
      <c r="AG116" s="3"/>
      <c r="AH116" s="34"/>
      <c r="AI116" s="36" t="s">
        <v>19</v>
      </c>
      <c r="AK116" s="3"/>
      <c r="AL116" s="3"/>
      <c r="AM116" s="3"/>
      <c r="AN116" s="3"/>
      <c r="AO116" s="3"/>
      <c r="AP116" s="3"/>
      <c r="AQ116" s="34"/>
      <c r="AR116" s="36" t="s">
        <v>19</v>
      </c>
      <c r="AT116" s="3"/>
      <c r="AU116" s="3"/>
      <c r="AV116" s="3"/>
      <c r="AW116" s="3"/>
      <c r="AX116" s="3"/>
      <c r="AY116" s="3"/>
      <c r="AZ116" s="34"/>
      <c r="BA116" s="36" t="s">
        <v>19</v>
      </c>
    </row>
    <row r="117" spans="1:53" ht="12.75">
      <c r="A117" s="32" t="s">
        <v>4</v>
      </c>
      <c r="B117" s="17" t="s">
        <v>0</v>
      </c>
      <c r="C117" s="17" t="s">
        <v>1</v>
      </c>
      <c r="D117" s="17" t="s">
        <v>2</v>
      </c>
      <c r="E117" s="17" t="s">
        <v>3</v>
      </c>
      <c r="F117" s="17" t="s">
        <v>117</v>
      </c>
      <c r="G117" s="17" t="s">
        <v>53</v>
      </c>
      <c r="H117" s="17" t="s">
        <v>111</v>
      </c>
      <c r="J117" s="17" t="s">
        <v>4</v>
      </c>
      <c r="K117" s="17" t="s">
        <v>0</v>
      </c>
      <c r="L117" s="17" t="s">
        <v>1</v>
      </c>
      <c r="M117" s="17" t="s">
        <v>2</v>
      </c>
      <c r="N117" s="17" t="s">
        <v>3</v>
      </c>
      <c r="O117" s="17" t="s">
        <v>117</v>
      </c>
      <c r="P117" s="17" t="s">
        <v>53</v>
      </c>
      <c r="Q117" s="17" t="s">
        <v>111</v>
      </c>
      <c r="S117" s="17" t="s">
        <v>4</v>
      </c>
      <c r="T117" s="17" t="s">
        <v>0</v>
      </c>
      <c r="U117" s="17" t="s">
        <v>1</v>
      </c>
      <c r="V117" s="17" t="s">
        <v>2</v>
      </c>
      <c r="W117" s="17" t="s">
        <v>3</v>
      </c>
      <c r="X117" s="17" t="s">
        <v>117</v>
      </c>
      <c r="Y117" s="17" t="s">
        <v>53</v>
      </c>
      <c r="Z117" s="17" t="s">
        <v>111</v>
      </c>
      <c r="AB117" s="17" t="s">
        <v>4</v>
      </c>
      <c r="AC117" s="17" t="s">
        <v>0</v>
      </c>
      <c r="AD117" s="17" t="s">
        <v>1</v>
      </c>
      <c r="AE117" s="17" t="s">
        <v>2</v>
      </c>
      <c r="AF117" s="17" t="s">
        <v>3</v>
      </c>
      <c r="AG117" s="17" t="s">
        <v>117</v>
      </c>
      <c r="AH117" s="17" t="s">
        <v>53</v>
      </c>
      <c r="AI117" s="17" t="s">
        <v>111</v>
      </c>
      <c r="AK117" s="17" t="s">
        <v>4</v>
      </c>
      <c r="AL117" s="17" t="s">
        <v>0</v>
      </c>
      <c r="AM117" s="17" t="s">
        <v>1</v>
      </c>
      <c r="AN117" s="17" t="s">
        <v>2</v>
      </c>
      <c r="AO117" s="17" t="s">
        <v>3</v>
      </c>
      <c r="AP117" s="17" t="s">
        <v>117</v>
      </c>
      <c r="AQ117" s="17" t="s">
        <v>53</v>
      </c>
      <c r="AR117" s="17" t="s">
        <v>111</v>
      </c>
      <c r="AT117" s="17" t="s">
        <v>4</v>
      </c>
      <c r="AU117" s="17" t="s">
        <v>0</v>
      </c>
      <c r="AV117" s="17" t="s">
        <v>1</v>
      </c>
      <c r="AW117" s="17" t="s">
        <v>2</v>
      </c>
      <c r="AX117" s="17" t="s">
        <v>3</v>
      </c>
      <c r="AY117" s="17" t="s">
        <v>117</v>
      </c>
      <c r="AZ117" s="17" t="s">
        <v>53</v>
      </c>
      <c r="BA117" s="17" t="s">
        <v>111</v>
      </c>
    </row>
    <row r="118" spans="1:53" ht="12.75">
      <c r="A118" s="32"/>
      <c r="B118" s="17"/>
      <c r="C118" s="17"/>
      <c r="D118" s="17"/>
      <c r="E118" s="17"/>
      <c r="F118" s="17"/>
      <c r="G118" s="28" t="s">
        <v>117</v>
      </c>
      <c r="H118" s="28" t="s">
        <v>117</v>
      </c>
      <c r="J118" s="17"/>
      <c r="K118" s="17"/>
      <c r="L118" s="17"/>
      <c r="M118" s="17"/>
      <c r="N118" s="17"/>
      <c r="O118" s="17"/>
      <c r="P118" s="28" t="s">
        <v>117</v>
      </c>
      <c r="Q118" s="28" t="s">
        <v>117</v>
      </c>
      <c r="S118" s="17"/>
      <c r="T118" s="17"/>
      <c r="U118" s="17"/>
      <c r="V118" s="17"/>
      <c r="W118" s="17"/>
      <c r="X118" s="17"/>
      <c r="Y118" s="28" t="s">
        <v>117</v>
      </c>
      <c r="Z118" s="28" t="s">
        <v>117</v>
      </c>
      <c r="AB118" s="17"/>
      <c r="AC118" s="17"/>
      <c r="AD118" s="17"/>
      <c r="AE118" s="17"/>
      <c r="AF118" s="17"/>
      <c r="AG118" s="17"/>
      <c r="AH118" s="28" t="s">
        <v>117</v>
      </c>
      <c r="AI118" s="28" t="s">
        <v>117</v>
      </c>
      <c r="AK118" s="17"/>
      <c r="AL118" s="17"/>
      <c r="AM118" s="17"/>
      <c r="AN118" s="17"/>
      <c r="AO118" s="17"/>
      <c r="AP118" s="17"/>
      <c r="AQ118" s="28" t="s">
        <v>117</v>
      </c>
      <c r="AR118" s="28" t="s">
        <v>117</v>
      </c>
      <c r="AT118" s="17"/>
      <c r="AU118" s="17"/>
      <c r="AV118" s="17"/>
      <c r="AW118" s="17"/>
      <c r="AX118" s="17"/>
      <c r="AY118" s="17"/>
      <c r="AZ118" s="28" t="s">
        <v>117</v>
      </c>
      <c r="BA118" s="28" t="s">
        <v>117</v>
      </c>
    </row>
    <row r="119" spans="1:53" ht="12.75">
      <c r="A119" s="3" t="s">
        <v>5</v>
      </c>
      <c r="B119" s="3">
        <v>2</v>
      </c>
      <c r="C119" s="3">
        <v>2</v>
      </c>
      <c r="D119" s="3">
        <v>2</v>
      </c>
      <c r="E119" s="4">
        <v>2</v>
      </c>
      <c r="F119" s="17">
        <v>2</v>
      </c>
      <c r="G119" s="7">
        <f>261/29</f>
        <v>9</v>
      </c>
      <c r="H119" s="7">
        <f>(14039+35356+261+6746)/83</f>
        <v>679.5421686746988</v>
      </c>
      <c r="J119" s="3" t="s">
        <v>5</v>
      </c>
      <c r="K119" s="3">
        <v>1</v>
      </c>
      <c r="L119" s="3">
        <v>1</v>
      </c>
      <c r="M119" s="3">
        <v>1</v>
      </c>
      <c r="N119" s="4">
        <v>1</v>
      </c>
      <c r="O119" s="17">
        <v>1</v>
      </c>
      <c r="P119" s="7">
        <f>261/29</f>
        <v>9</v>
      </c>
      <c r="Q119" s="7">
        <f>(14039+35356+261+6746)/83</f>
        <v>679.5421686746988</v>
      </c>
      <c r="S119" s="3" t="s">
        <v>5</v>
      </c>
      <c r="T119" s="3">
        <v>2</v>
      </c>
      <c r="U119" s="3">
        <v>2</v>
      </c>
      <c r="V119" s="3">
        <v>2</v>
      </c>
      <c r="W119" s="4">
        <v>2</v>
      </c>
      <c r="X119" s="17">
        <v>2</v>
      </c>
      <c r="Y119" s="7">
        <f>261/29</f>
        <v>9</v>
      </c>
      <c r="Z119" s="7">
        <f>(14039+35356+261+6746)/83</f>
        <v>679.5421686746988</v>
      </c>
      <c r="AB119" s="3" t="s">
        <v>5</v>
      </c>
      <c r="AC119" s="3">
        <v>4</v>
      </c>
      <c r="AD119" s="3">
        <v>2</v>
      </c>
      <c r="AE119" s="3">
        <v>2</v>
      </c>
      <c r="AF119" s="4">
        <v>2</v>
      </c>
      <c r="AG119" s="17">
        <v>2</v>
      </c>
      <c r="AH119" s="7">
        <f>261/29</f>
        <v>9</v>
      </c>
      <c r="AI119" s="7">
        <f>(14039+35356+261+6746)/83</f>
        <v>679.5421686746988</v>
      </c>
      <c r="AK119" s="3" t="s">
        <v>5</v>
      </c>
      <c r="AL119" s="3">
        <v>1</v>
      </c>
      <c r="AM119" s="3">
        <v>1</v>
      </c>
      <c r="AN119" s="3">
        <v>1</v>
      </c>
      <c r="AO119" s="4">
        <v>1</v>
      </c>
      <c r="AP119" s="17">
        <v>1</v>
      </c>
      <c r="AQ119" s="7">
        <f>261/29</f>
        <v>9</v>
      </c>
      <c r="AR119" s="7">
        <f>(14039+35356+261+6746)/83</f>
        <v>679.5421686746988</v>
      </c>
      <c r="AT119" s="3" t="s">
        <v>5</v>
      </c>
      <c r="AU119" s="3">
        <v>61</v>
      </c>
      <c r="AV119" s="3">
        <v>70</v>
      </c>
      <c r="AW119" s="3">
        <v>71</v>
      </c>
      <c r="AX119" s="4">
        <v>85</v>
      </c>
      <c r="AY119" s="17">
        <v>87</v>
      </c>
      <c r="AZ119" s="7">
        <f>261/29</f>
        <v>9</v>
      </c>
      <c r="BA119" s="7">
        <f>(14039+35356+261+6746)/83</f>
        <v>679.5421686746988</v>
      </c>
    </row>
    <row r="120" spans="1:53" ht="12.75">
      <c r="A120" s="2" t="s">
        <v>6</v>
      </c>
      <c r="B120" s="3">
        <v>35</v>
      </c>
      <c r="C120" s="13" t="s">
        <v>114</v>
      </c>
      <c r="D120" s="3">
        <v>11</v>
      </c>
      <c r="E120" s="11">
        <v>10</v>
      </c>
      <c r="F120" s="22">
        <v>10</v>
      </c>
      <c r="G120" s="7">
        <v>724</v>
      </c>
      <c r="H120" s="7">
        <v>10458</v>
      </c>
      <c r="J120" s="3" t="s">
        <v>6</v>
      </c>
      <c r="K120" s="13" t="s">
        <v>114</v>
      </c>
      <c r="L120" s="3">
        <v>39</v>
      </c>
      <c r="M120" s="3">
        <v>42</v>
      </c>
      <c r="N120" s="11">
        <v>52</v>
      </c>
      <c r="O120" s="22">
        <v>50</v>
      </c>
      <c r="P120" s="7">
        <v>724</v>
      </c>
      <c r="Q120" s="7">
        <v>10458</v>
      </c>
      <c r="S120" s="3" t="s">
        <v>6</v>
      </c>
      <c r="T120" s="3">
        <v>65</v>
      </c>
      <c r="U120" s="3">
        <v>39</v>
      </c>
      <c r="V120" s="3">
        <v>35</v>
      </c>
      <c r="W120" s="11">
        <v>35</v>
      </c>
      <c r="X120" s="22">
        <v>40</v>
      </c>
      <c r="Y120" s="7">
        <v>724</v>
      </c>
      <c r="Z120" s="7">
        <v>10458</v>
      </c>
      <c r="AB120" s="3" t="s">
        <v>6</v>
      </c>
      <c r="AC120" s="3">
        <v>77</v>
      </c>
      <c r="AD120" s="3">
        <v>55</v>
      </c>
      <c r="AE120" s="3">
        <v>59</v>
      </c>
      <c r="AF120" s="11">
        <v>58</v>
      </c>
      <c r="AG120" s="22">
        <v>113</v>
      </c>
      <c r="AH120" s="7">
        <v>724</v>
      </c>
      <c r="AI120" s="7">
        <v>10458</v>
      </c>
      <c r="AK120" s="3" t="s">
        <v>6</v>
      </c>
      <c r="AL120" s="3">
        <v>38</v>
      </c>
      <c r="AM120" s="3">
        <v>39</v>
      </c>
      <c r="AN120" s="8">
        <v>37</v>
      </c>
      <c r="AO120" s="11">
        <v>42</v>
      </c>
      <c r="AP120" s="22">
        <v>45</v>
      </c>
      <c r="AQ120" s="7">
        <v>724</v>
      </c>
      <c r="AR120" s="7">
        <v>10458</v>
      </c>
      <c r="AT120" s="3" t="s">
        <v>6</v>
      </c>
      <c r="AU120" s="3">
        <v>1654</v>
      </c>
      <c r="AV120" s="3">
        <v>3673</v>
      </c>
      <c r="AW120" s="3">
        <v>4461</v>
      </c>
      <c r="AX120" s="11">
        <v>5232</v>
      </c>
      <c r="AY120" s="22">
        <v>5390</v>
      </c>
      <c r="AZ120" s="7">
        <v>724</v>
      </c>
      <c r="BA120" s="7">
        <v>10458</v>
      </c>
    </row>
    <row r="121" spans="1:53" ht="12.75">
      <c r="A121" s="48" t="s">
        <v>20</v>
      </c>
      <c r="B121" s="6">
        <v>457.17</v>
      </c>
      <c r="C121" s="6">
        <v>820.53</v>
      </c>
      <c r="D121" s="6">
        <v>647.46</v>
      </c>
      <c r="E121" s="5">
        <v>521.26</v>
      </c>
      <c r="F121" s="18">
        <v>484.16</v>
      </c>
      <c r="G121" s="6">
        <v>1006.24</v>
      </c>
      <c r="H121" s="6">
        <v>423.74</v>
      </c>
      <c r="I121" s="6"/>
      <c r="J121" s="6" t="s">
        <v>20</v>
      </c>
      <c r="K121" s="6">
        <v>570.51</v>
      </c>
      <c r="L121" s="6">
        <v>486.66</v>
      </c>
      <c r="M121" s="6">
        <v>527.8</v>
      </c>
      <c r="N121" s="5">
        <v>608.21</v>
      </c>
      <c r="O121" s="18">
        <v>684.21</v>
      </c>
      <c r="P121" s="6">
        <v>1006.24</v>
      </c>
      <c r="Q121" s="6">
        <v>423.74</v>
      </c>
      <c r="R121" s="6"/>
      <c r="S121" s="6" t="s">
        <v>20</v>
      </c>
      <c r="T121" s="6">
        <v>961.83</v>
      </c>
      <c r="U121" s="6">
        <v>1355.31</v>
      </c>
      <c r="V121" s="6">
        <v>1233.79</v>
      </c>
      <c r="W121" s="5">
        <v>1132.28</v>
      </c>
      <c r="X121" s="18">
        <v>784.01</v>
      </c>
      <c r="Y121" s="6">
        <v>1006.24</v>
      </c>
      <c r="Z121" s="6">
        <v>423.74</v>
      </c>
      <c r="AA121" s="6"/>
      <c r="AB121" s="6" t="s">
        <v>20</v>
      </c>
      <c r="AC121" s="6">
        <v>340.6</v>
      </c>
      <c r="AD121" s="6">
        <v>351.5</v>
      </c>
      <c r="AE121" s="6">
        <v>1017</v>
      </c>
      <c r="AF121" s="5">
        <v>1057.9</v>
      </c>
      <c r="AG121" s="18">
        <v>1467.2</v>
      </c>
      <c r="AH121" s="6">
        <v>1006.24</v>
      </c>
      <c r="AI121" s="6">
        <v>423.74</v>
      </c>
      <c r="AJ121" s="6"/>
      <c r="AK121" s="6" t="s">
        <v>20</v>
      </c>
      <c r="AL121" s="6">
        <v>59.93</v>
      </c>
      <c r="AM121" s="6">
        <v>76.62</v>
      </c>
      <c r="AN121" s="6">
        <v>74.54</v>
      </c>
      <c r="AO121" s="5">
        <v>66.68</v>
      </c>
      <c r="AP121" s="18">
        <v>54.81</v>
      </c>
      <c r="AQ121" s="6">
        <v>1006.24</v>
      </c>
      <c r="AR121" s="6">
        <v>423.74</v>
      </c>
      <c r="AS121" s="6"/>
      <c r="AT121" s="6" t="s">
        <v>20</v>
      </c>
      <c r="AU121" s="6">
        <v>794.41</v>
      </c>
      <c r="AV121" s="6">
        <v>840.54</v>
      </c>
      <c r="AW121" s="6">
        <v>780.11</v>
      </c>
      <c r="AX121" s="5">
        <v>786.36</v>
      </c>
      <c r="AY121" s="18">
        <v>837.29</v>
      </c>
      <c r="AZ121" s="6">
        <v>1006.24</v>
      </c>
      <c r="BA121" s="6">
        <v>423.74</v>
      </c>
    </row>
    <row r="122" spans="1:53" ht="12.75">
      <c r="A122" s="48" t="s">
        <v>56</v>
      </c>
      <c r="B122" s="6">
        <v>20.97</v>
      </c>
      <c r="C122" s="6">
        <v>65.82</v>
      </c>
      <c r="D122" s="5">
        <v>50.53</v>
      </c>
      <c r="E122" s="5">
        <v>36.99</v>
      </c>
      <c r="F122" s="18">
        <v>37.43</v>
      </c>
      <c r="G122" s="6">
        <v>14.61</v>
      </c>
      <c r="H122" s="6">
        <v>2.84</v>
      </c>
      <c r="I122" s="6"/>
      <c r="J122" s="6" t="s">
        <v>56</v>
      </c>
      <c r="K122" s="6">
        <v>-11.8</v>
      </c>
      <c r="L122" s="6">
        <v>2.21</v>
      </c>
      <c r="M122" s="5">
        <v>16.06</v>
      </c>
      <c r="N122" s="5">
        <v>18.67</v>
      </c>
      <c r="O122" s="18">
        <v>8.88</v>
      </c>
      <c r="P122" s="6">
        <v>14.61</v>
      </c>
      <c r="Q122" s="6">
        <v>2.84</v>
      </c>
      <c r="R122" s="6"/>
      <c r="S122" s="6" t="s">
        <v>56</v>
      </c>
      <c r="T122" s="6">
        <v>-45.39</v>
      </c>
      <c r="U122" s="6">
        <v>-26.81</v>
      </c>
      <c r="V122" s="5">
        <v>-5.61</v>
      </c>
      <c r="W122" s="5">
        <v>-40.79</v>
      </c>
      <c r="X122" s="18">
        <v>-9.35</v>
      </c>
      <c r="Y122" s="6">
        <v>14.61</v>
      </c>
      <c r="Z122" s="6">
        <v>2.84</v>
      </c>
      <c r="AA122" s="6"/>
      <c r="AB122" s="6" t="s">
        <v>56</v>
      </c>
      <c r="AC122" s="6">
        <v>-15.4</v>
      </c>
      <c r="AD122" s="6">
        <v>-13.6</v>
      </c>
      <c r="AE122" s="5">
        <v>25.4</v>
      </c>
      <c r="AF122" s="5">
        <v>25.4</v>
      </c>
      <c r="AG122" s="18">
        <v>20.8</v>
      </c>
      <c r="AH122" s="6">
        <v>14.61</v>
      </c>
      <c r="AI122" s="6">
        <v>2.84</v>
      </c>
      <c r="AJ122" s="6"/>
      <c r="AK122" s="6" t="s">
        <v>56</v>
      </c>
      <c r="AL122" s="6">
        <v>2.96</v>
      </c>
      <c r="AM122" s="6">
        <v>1.05</v>
      </c>
      <c r="AN122" s="5">
        <v>2.57</v>
      </c>
      <c r="AO122" s="5">
        <v>3.39</v>
      </c>
      <c r="AP122" s="18">
        <v>1.21</v>
      </c>
      <c r="AQ122" s="6">
        <v>14.61</v>
      </c>
      <c r="AR122" s="6">
        <v>2.84</v>
      </c>
      <c r="AS122" s="6"/>
      <c r="AT122" s="6" t="s">
        <v>56</v>
      </c>
      <c r="AU122" s="6">
        <v>20.38</v>
      </c>
      <c r="AV122" s="6">
        <v>25.15</v>
      </c>
      <c r="AW122" s="5">
        <v>13.4</v>
      </c>
      <c r="AX122" s="5">
        <v>11.5</v>
      </c>
      <c r="AY122" s="18">
        <v>14.5</v>
      </c>
      <c r="AZ122" s="6">
        <v>14.61</v>
      </c>
      <c r="BA122" s="6">
        <v>2.84</v>
      </c>
    </row>
    <row r="123" spans="1:53" ht="12.75">
      <c r="A123" s="2"/>
      <c r="B123" s="3"/>
      <c r="C123" s="3"/>
      <c r="D123" s="3"/>
      <c r="E123" s="4"/>
      <c r="F123" s="17"/>
      <c r="G123" s="3"/>
      <c r="H123" s="3"/>
      <c r="J123" s="3"/>
      <c r="K123" s="3"/>
      <c r="L123" s="3"/>
      <c r="M123" s="3"/>
      <c r="N123" s="4"/>
      <c r="O123" s="17"/>
      <c r="P123" s="3"/>
      <c r="Q123" s="3"/>
      <c r="S123" s="3"/>
      <c r="T123" s="3"/>
      <c r="U123" s="3"/>
      <c r="V123" s="3"/>
      <c r="W123" s="4"/>
      <c r="X123" s="17"/>
      <c r="Y123" s="3"/>
      <c r="Z123" s="3"/>
      <c r="AB123" s="3"/>
      <c r="AC123" s="3"/>
      <c r="AD123" s="3"/>
      <c r="AE123" s="3"/>
      <c r="AF123" s="4"/>
      <c r="AG123" s="17"/>
      <c r="AH123" s="3"/>
      <c r="AI123" s="3"/>
      <c r="AK123" s="3"/>
      <c r="AL123" s="3"/>
      <c r="AM123" s="3"/>
      <c r="AN123" s="3"/>
      <c r="AO123" s="4"/>
      <c r="AP123" s="17"/>
      <c r="AQ123" s="3"/>
      <c r="AR123" s="3"/>
      <c r="AT123" s="3"/>
      <c r="AU123" s="3"/>
      <c r="AV123" s="3"/>
      <c r="AW123" s="3"/>
      <c r="AX123" s="4"/>
      <c r="AY123" s="17"/>
      <c r="AZ123" s="3"/>
      <c r="BA123" s="3"/>
    </row>
    <row r="124" spans="1:53" ht="12.75">
      <c r="A124" s="2" t="s">
        <v>119</v>
      </c>
      <c r="B124" s="3">
        <v>37</v>
      </c>
      <c r="C124" s="3">
        <v>49</v>
      </c>
      <c r="D124" s="3">
        <v>55</v>
      </c>
      <c r="E124" s="10">
        <v>58</v>
      </c>
      <c r="F124" s="21">
        <v>63</v>
      </c>
      <c r="G124" s="7">
        <f>(8940+15347)/29</f>
        <v>837.4827586206897</v>
      </c>
      <c r="H124" s="7">
        <f>(25180+157847)/83</f>
        <v>2205.144578313253</v>
      </c>
      <c r="J124" s="3" t="s">
        <v>119</v>
      </c>
      <c r="K124" s="3">
        <v>72</v>
      </c>
      <c r="L124" s="3">
        <v>77</v>
      </c>
      <c r="M124" s="3">
        <v>157</v>
      </c>
      <c r="N124" s="10">
        <v>164</v>
      </c>
      <c r="O124" s="21">
        <v>369</v>
      </c>
      <c r="P124" s="7">
        <f>(8940+15347)/29</f>
        <v>837.4827586206897</v>
      </c>
      <c r="Q124" s="7">
        <f>(25180+157847)/83</f>
        <v>2205.144578313253</v>
      </c>
      <c r="S124" s="3" t="s">
        <v>119</v>
      </c>
      <c r="T124" s="3">
        <v>153</v>
      </c>
      <c r="U124" s="3">
        <v>153</v>
      </c>
      <c r="V124" s="3">
        <v>153</v>
      </c>
      <c r="W124" s="10">
        <v>161</v>
      </c>
      <c r="X124" s="21">
        <v>162</v>
      </c>
      <c r="Y124" s="7">
        <f>(8940+15347)/29</f>
        <v>837.4827586206897</v>
      </c>
      <c r="Z124" s="7">
        <f>(25180+157847)/83</f>
        <v>2205.144578313253</v>
      </c>
      <c r="AB124" s="3" t="s">
        <v>119</v>
      </c>
      <c r="AC124" s="3">
        <v>70</v>
      </c>
      <c r="AD124" s="3">
        <v>138</v>
      </c>
      <c r="AE124" s="3">
        <v>152</v>
      </c>
      <c r="AF124" s="10">
        <v>321</v>
      </c>
      <c r="AG124" s="21">
        <v>339</v>
      </c>
      <c r="AH124" s="7">
        <f>(8940+15347)/29</f>
        <v>837.4827586206897</v>
      </c>
      <c r="AI124" s="7">
        <f>(25180+157847)/83</f>
        <v>2205.144578313253</v>
      </c>
      <c r="AK124" s="3" t="s">
        <v>119</v>
      </c>
      <c r="AL124" s="7">
        <v>4</v>
      </c>
      <c r="AM124" s="7">
        <v>4</v>
      </c>
      <c r="AN124" s="7">
        <v>5</v>
      </c>
      <c r="AO124" s="10">
        <v>6</v>
      </c>
      <c r="AP124" s="21">
        <v>5</v>
      </c>
      <c r="AQ124" s="7">
        <f>(8940+15347)/29</f>
        <v>837.4827586206897</v>
      </c>
      <c r="AR124" s="7">
        <f>(25180+157847)/83</f>
        <v>2205.144578313253</v>
      </c>
      <c r="AT124" s="3" t="s">
        <v>119</v>
      </c>
      <c r="AU124" s="3">
        <v>1521</v>
      </c>
      <c r="AV124" s="3">
        <v>2800</v>
      </c>
      <c r="AW124" s="3">
        <v>2733</v>
      </c>
      <c r="AX124" s="10">
        <v>3234</v>
      </c>
      <c r="AY124" s="21">
        <v>4562</v>
      </c>
      <c r="AZ124" s="7">
        <f>(8940+15347)/29</f>
        <v>837.4827586206897</v>
      </c>
      <c r="BA124" s="7">
        <f>(25180+157847)/83</f>
        <v>2205.144578313253</v>
      </c>
    </row>
    <row r="125" spans="1:53" ht="12.75">
      <c r="A125" s="2" t="s">
        <v>7</v>
      </c>
      <c r="B125" s="3">
        <v>395</v>
      </c>
      <c r="C125" s="3">
        <v>297</v>
      </c>
      <c r="D125" s="4">
        <v>279</v>
      </c>
      <c r="E125" s="4">
        <v>269</v>
      </c>
      <c r="F125" s="17">
        <v>21</v>
      </c>
      <c r="G125" s="7">
        <f>113746/29</f>
        <v>3922.2758620689656</v>
      </c>
      <c r="H125" s="7">
        <f>2162472/83</f>
        <v>26053.87951807229</v>
      </c>
      <c r="J125" s="3" t="s">
        <v>7</v>
      </c>
      <c r="K125" s="3">
        <v>159</v>
      </c>
      <c r="L125" s="3">
        <v>143</v>
      </c>
      <c r="M125" s="4">
        <v>51</v>
      </c>
      <c r="N125" s="4">
        <v>110</v>
      </c>
      <c r="O125" s="17">
        <v>137</v>
      </c>
      <c r="P125" s="7">
        <f>113746/29</f>
        <v>3922.2758620689656</v>
      </c>
      <c r="Q125" s="7">
        <f>2162472/83</f>
        <v>26053.87951807229</v>
      </c>
      <c r="S125" s="3" t="s">
        <v>7</v>
      </c>
      <c r="T125" s="3">
        <v>433</v>
      </c>
      <c r="U125" s="3">
        <v>357</v>
      </c>
      <c r="V125" s="4">
        <v>286</v>
      </c>
      <c r="W125" s="4">
        <v>225</v>
      </c>
      <c r="X125" s="17">
        <v>203</v>
      </c>
      <c r="Y125" s="7">
        <f>113746/29</f>
        <v>3922.2758620689656</v>
      </c>
      <c r="Z125" s="7">
        <f>2162472/83</f>
        <v>26053.87951807229</v>
      </c>
      <c r="AB125" s="3" t="s">
        <v>7</v>
      </c>
      <c r="AC125" s="3">
        <v>134</v>
      </c>
      <c r="AD125" s="3">
        <v>128</v>
      </c>
      <c r="AE125" s="4">
        <v>475</v>
      </c>
      <c r="AF125" s="4">
        <v>527</v>
      </c>
      <c r="AG125" s="17">
        <v>943</v>
      </c>
      <c r="AH125" s="7">
        <f>113746/29</f>
        <v>3922.2758620689656</v>
      </c>
      <c r="AI125" s="7">
        <f>2162472/83</f>
        <v>26053.87951807229</v>
      </c>
      <c r="AK125" s="3" t="s">
        <v>7</v>
      </c>
      <c r="AL125" s="3">
        <v>17</v>
      </c>
      <c r="AM125" s="3">
        <v>29</v>
      </c>
      <c r="AN125" s="4">
        <v>29</v>
      </c>
      <c r="AO125" s="4">
        <v>22</v>
      </c>
      <c r="AP125" s="17">
        <v>20</v>
      </c>
      <c r="AQ125" s="7">
        <f>113746/29</f>
        <v>3922.2758620689656</v>
      </c>
      <c r="AR125" s="7">
        <f>2162472/83</f>
        <v>26053.87951807229</v>
      </c>
      <c r="AT125" s="3" t="s">
        <v>7</v>
      </c>
      <c r="AU125" s="3">
        <v>9425</v>
      </c>
      <c r="AV125" s="3">
        <v>18003</v>
      </c>
      <c r="AW125" s="4">
        <v>19949</v>
      </c>
      <c r="AX125" s="4">
        <v>22522</v>
      </c>
      <c r="AY125" s="17">
        <v>28460</v>
      </c>
      <c r="AZ125" s="7">
        <f>113746/29</f>
        <v>3922.2758620689656</v>
      </c>
      <c r="BA125" s="7">
        <f>2162472/83</f>
        <v>26053.87951807229</v>
      </c>
    </row>
    <row r="126" spans="1:53" ht="12.75">
      <c r="A126" s="2" t="s">
        <v>8</v>
      </c>
      <c r="B126" s="3">
        <v>345</v>
      </c>
      <c r="C126" s="3">
        <v>234</v>
      </c>
      <c r="D126" s="4">
        <v>206</v>
      </c>
      <c r="E126" s="4">
        <v>234</v>
      </c>
      <c r="F126" s="17">
        <v>37</v>
      </c>
      <c r="G126" s="7">
        <f>53563/29</f>
        <v>1847</v>
      </c>
      <c r="H126" s="7">
        <f>866961/83</f>
        <v>10445.313253012047</v>
      </c>
      <c r="J126" s="3" t="s">
        <v>8</v>
      </c>
      <c r="K126" s="3">
        <v>60</v>
      </c>
      <c r="L126" s="3">
        <v>65</v>
      </c>
      <c r="M126" s="4">
        <v>33</v>
      </c>
      <c r="N126" s="4">
        <v>151</v>
      </c>
      <c r="O126" s="17">
        <v>91</v>
      </c>
      <c r="P126" s="7">
        <f>53563/29</f>
        <v>1847</v>
      </c>
      <c r="Q126" s="7">
        <f>866961/83</f>
        <v>10445.313253012047</v>
      </c>
      <c r="S126" s="3" t="s">
        <v>8</v>
      </c>
      <c r="T126" s="3">
        <v>134</v>
      </c>
      <c r="U126" s="3">
        <v>110</v>
      </c>
      <c r="V126" s="4">
        <v>142</v>
      </c>
      <c r="W126" s="4">
        <v>128</v>
      </c>
      <c r="X126" s="17">
        <v>115</v>
      </c>
      <c r="Y126" s="7">
        <f>53563/29</f>
        <v>1847</v>
      </c>
      <c r="Z126" s="7">
        <f>866961/83</f>
        <v>10445.313253012047</v>
      </c>
      <c r="AB126" s="3" t="s">
        <v>8</v>
      </c>
      <c r="AC126" s="3">
        <v>146</v>
      </c>
      <c r="AD126" s="3">
        <v>276</v>
      </c>
      <c r="AE126" s="4">
        <v>459</v>
      </c>
      <c r="AF126" s="4">
        <v>593</v>
      </c>
      <c r="AG126" s="17">
        <v>1087</v>
      </c>
      <c r="AH126" s="7">
        <f>53563/29</f>
        <v>1847</v>
      </c>
      <c r="AI126" s="7">
        <f>866961/83</f>
        <v>10445.313253012047</v>
      </c>
      <c r="AK126" s="3" t="s">
        <v>8</v>
      </c>
      <c r="AL126" s="3">
        <v>5</v>
      </c>
      <c r="AM126" s="3">
        <v>5</v>
      </c>
      <c r="AN126" s="4">
        <v>6</v>
      </c>
      <c r="AO126" s="4">
        <v>7</v>
      </c>
      <c r="AP126" s="17">
        <v>7</v>
      </c>
      <c r="AQ126" s="7">
        <f>53563/29</f>
        <v>1847</v>
      </c>
      <c r="AR126" s="7">
        <f>866961/83</f>
        <v>10445.313253012047</v>
      </c>
      <c r="AT126" s="3" t="s">
        <v>8</v>
      </c>
      <c r="AU126" s="3">
        <v>7017</v>
      </c>
      <c r="AV126" s="3">
        <v>10223</v>
      </c>
      <c r="AW126" s="4">
        <v>10079</v>
      </c>
      <c r="AX126" s="4">
        <v>10160</v>
      </c>
      <c r="AY126" s="17">
        <v>11812</v>
      </c>
      <c r="AZ126" s="7">
        <f>53563/29</f>
        <v>1847</v>
      </c>
      <c r="BA126" s="7">
        <f>866961/83</f>
        <v>10445.313253012047</v>
      </c>
    </row>
    <row r="127" spans="1:53" ht="12.75">
      <c r="A127" s="2" t="s">
        <v>9</v>
      </c>
      <c r="B127" s="3">
        <v>90</v>
      </c>
      <c r="C127" s="3">
        <v>41</v>
      </c>
      <c r="D127" s="4">
        <v>17</v>
      </c>
      <c r="E127" s="4">
        <v>19</v>
      </c>
      <c r="F127" s="17">
        <v>31</v>
      </c>
      <c r="G127" s="7">
        <f>97555/29</f>
        <v>3363.9655172413795</v>
      </c>
      <c r="H127" s="7">
        <f>1515667/83</f>
        <v>18261.048192771083</v>
      </c>
      <c r="J127" s="3" t="s">
        <v>9</v>
      </c>
      <c r="K127" s="3">
        <v>232</v>
      </c>
      <c r="L127" s="3">
        <v>188</v>
      </c>
      <c r="M127" s="4">
        <v>182</v>
      </c>
      <c r="N127" s="4">
        <v>267</v>
      </c>
      <c r="O127" s="17">
        <v>328</v>
      </c>
      <c r="P127" s="7">
        <f>97555/29</f>
        <v>3363.9655172413795</v>
      </c>
      <c r="Q127" s="7">
        <f>1515667/83</f>
        <v>18261.048192771083</v>
      </c>
      <c r="S127" s="3" t="s">
        <v>9</v>
      </c>
      <c r="T127" s="3">
        <v>48</v>
      </c>
      <c r="U127" s="3">
        <v>28</v>
      </c>
      <c r="V127" s="4">
        <v>17</v>
      </c>
      <c r="W127" s="4">
        <v>13</v>
      </c>
      <c r="X127" s="17">
        <v>8</v>
      </c>
      <c r="Y127" s="7">
        <f>97555/29</f>
        <v>3363.9655172413795</v>
      </c>
      <c r="Z127" s="7">
        <f>1515667/83</f>
        <v>18261.048192771083</v>
      </c>
      <c r="AB127" s="3" t="s">
        <v>9</v>
      </c>
      <c r="AC127" s="3">
        <v>149</v>
      </c>
      <c r="AD127" s="3">
        <v>87</v>
      </c>
      <c r="AE127" s="4">
        <v>171</v>
      </c>
      <c r="AF127" s="4">
        <v>159</v>
      </c>
      <c r="AG127" s="17">
        <v>271</v>
      </c>
      <c r="AH127" s="7">
        <f>97555/29</f>
        <v>3363.9655172413795</v>
      </c>
      <c r="AI127" s="7">
        <f>1515667/83</f>
        <v>18261.048192771083</v>
      </c>
      <c r="AK127" s="3" t="s">
        <v>9</v>
      </c>
      <c r="AL127" s="3">
        <v>9</v>
      </c>
      <c r="AM127" s="3">
        <v>6</v>
      </c>
      <c r="AN127" s="4">
        <v>6</v>
      </c>
      <c r="AO127" s="4">
        <v>6</v>
      </c>
      <c r="AP127" s="17">
        <v>3</v>
      </c>
      <c r="AQ127" s="7">
        <f>97555/29</f>
        <v>3363.9655172413795</v>
      </c>
      <c r="AR127" s="7">
        <f>1515667/83</f>
        <v>18261.048192771083</v>
      </c>
      <c r="AT127" s="3" t="s">
        <v>9</v>
      </c>
      <c r="AU127" s="3">
        <v>9033</v>
      </c>
      <c r="AV127" s="3">
        <v>13042</v>
      </c>
      <c r="AW127" s="4">
        <v>16152</v>
      </c>
      <c r="AX127" s="4">
        <v>19970</v>
      </c>
      <c r="AY127" s="17">
        <v>24077</v>
      </c>
      <c r="AZ127" s="7">
        <f>97555/29</f>
        <v>3363.9655172413795</v>
      </c>
      <c r="BA127" s="7">
        <f>1515667/83</f>
        <v>18261.048192771083</v>
      </c>
    </row>
    <row r="128" spans="1:53" ht="12.75">
      <c r="A128" s="2"/>
      <c r="B128" s="3"/>
      <c r="C128" s="3"/>
      <c r="D128" s="3"/>
      <c r="E128" s="4"/>
      <c r="F128" s="17"/>
      <c r="G128" s="7"/>
      <c r="H128" s="7"/>
      <c r="J128" s="3"/>
      <c r="K128" s="3"/>
      <c r="L128" s="3"/>
      <c r="M128" s="3"/>
      <c r="N128" s="4"/>
      <c r="O128" s="17"/>
      <c r="P128" s="7"/>
      <c r="Q128" s="7"/>
      <c r="S128" s="3"/>
      <c r="T128" s="3"/>
      <c r="U128" s="3"/>
      <c r="V128" s="3"/>
      <c r="W128" s="4"/>
      <c r="X128" s="17"/>
      <c r="Y128" s="7"/>
      <c r="Z128" s="7"/>
      <c r="AB128" s="3"/>
      <c r="AC128" s="3"/>
      <c r="AD128" s="3"/>
      <c r="AE128" s="3"/>
      <c r="AF128" s="4"/>
      <c r="AG128" s="17"/>
      <c r="AH128" s="7"/>
      <c r="AI128" s="7"/>
      <c r="AK128" s="3"/>
      <c r="AL128" s="3"/>
      <c r="AM128" s="3"/>
      <c r="AN128" s="3"/>
      <c r="AO128" s="4"/>
      <c r="AP128" s="17"/>
      <c r="AQ128" s="7"/>
      <c r="AR128" s="7"/>
      <c r="AT128" s="3"/>
      <c r="AU128" s="3"/>
      <c r="AV128" s="3"/>
      <c r="AW128" s="3"/>
      <c r="AX128" s="4"/>
      <c r="AY128" s="17"/>
      <c r="AZ128" s="7"/>
      <c r="BA128" s="7"/>
    </row>
    <row r="129" spans="1:53" ht="12.75">
      <c r="A129" s="2" t="s">
        <v>10</v>
      </c>
      <c r="B129" s="4">
        <v>57</v>
      </c>
      <c r="C129" s="4">
        <v>44</v>
      </c>
      <c r="D129" s="4">
        <v>34</v>
      </c>
      <c r="E129" s="4">
        <v>29</v>
      </c>
      <c r="F129" s="17">
        <v>20</v>
      </c>
      <c r="G129" s="7">
        <v>421.8965517241379</v>
      </c>
      <c r="H129" s="7">
        <f>184377/83</f>
        <v>2221.409638554217</v>
      </c>
      <c r="J129" s="3" t="s">
        <v>10</v>
      </c>
      <c r="K129" s="4">
        <v>30</v>
      </c>
      <c r="L129" s="4">
        <v>26</v>
      </c>
      <c r="M129" s="4">
        <v>20</v>
      </c>
      <c r="N129" s="4">
        <v>17</v>
      </c>
      <c r="O129" s="17">
        <v>24</v>
      </c>
      <c r="P129" s="7">
        <v>421.8965517241379</v>
      </c>
      <c r="Q129" s="7">
        <f>184377/83</f>
        <v>2221.409638554217</v>
      </c>
      <c r="S129" s="3" t="s">
        <v>10</v>
      </c>
      <c r="T129" s="4">
        <v>29</v>
      </c>
      <c r="U129" s="4">
        <v>24</v>
      </c>
      <c r="V129" s="4">
        <v>21</v>
      </c>
      <c r="W129" s="4">
        <v>18</v>
      </c>
      <c r="X129" s="17">
        <v>17</v>
      </c>
      <c r="Y129" s="7">
        <v>421.8965517241379</v>
      </c>
      <c r="Z129" s="7">
        <f>184377/83</f>
        <v>2221.409638554217</v>
      </c>
      <c r="AB129" s="3" t="s">
        <v>10</v>
      </c>
      <c r="AC129" s="4">
        <v>42</v>
      </c>
      <c r="AD129" s="4">
        <v>31</v>
      </c>
      <c r="AE129" s="4">
        <v>30</v>
      </c>
      <c r="AF129" s="4">
        <v>37</v>
      </c>
      <c r="AG129" s="17">
        <v>93</v>
      </c>
      <c r="AH129" s="7">
        <v>421.8965517241379</v>
      </c>
      <c r="AI129" s="7">
        <f>184377/83</f>
        <v>2221.409638554217</v>
      </c>
      <c r="AK129" s="3" t="s">
        <v>10</v>
      </c>
      <c r="AL129" s="4">
        <v>1</v>
      </c>
      <c r="AM129" s="4">
        <v>1</v>
      </c>
      <c r="AN129" s="4">
        <v>1</v>
      </c>
      <c r="AO129" s="4">
        <v>1</v>
      </c>
      <c r="AP129" s="17">
        <v>1</v>
      </c>
      <c r="AQ129" s="7">
        <v>421.8965517241379</v>
      </c>
      <c r="AR129" s="7">
        <f>184377/83</f>
        <v>2221.409638554217</v>
      </c>
      <c r="AT129" s="3" t="s">
        <v>10</v>
      </c>
      <c r="AU129" s="4">
        <v>1645</v>
      </c>
      <c r="AV129" s="4">
        <v>2287</v>
      </c>
      <c r="AW129" s="4">
        <v>2523</v>
      </c>
      <c r="AX129" s="4">
        <v>2493</v>
      </c>
      <c r="AY129" s="17">
        <v>3056</v>
      </c>
      <c r="AZ129" s="7">
        <v>421.8965517241379</v>
      </c>
      <c r="BA129" s="7">
        <f>184377/83</f>
        <v>2221.409638554217</v>
      </c>
    </row>
    <row r="130" spans="1:53" ht="12.75">
      <c r="A130" s="2" t="s">
        <v>11</v>
      </c>
      <c r="B130" s="4">
        <v>15</v>
      </c>
      <c r="C130" s="4">
        <v>9</v>
      </c>
      <c r="D130" s="4">
        <v>2</v>
      </c>
      <c r="E130" s="4">
        <v>4</v>
      </c>
      <c r="F130" s="17">
        <v>7</v>
      </c>
      <c r="G130" s="7">
        <f>5200/29</f>
        <v>179.31034482758622</v>
      </c>
      <c r="H130" s="7">
        <f>37693/83</f>
        <v>454.13253012048193</v>
      </c>
      <c r="J130" s="3" t="s">
        <v>11</v>
      </c>
      <c r="K130" s="4">
        <v>4</v>
      </c>
      <c r="L130" s="4">
        <v>4</v>
      </c>
      <c r="M130" s="4">
        <v>3</v>
      </c>
      <c r="N130" s="4">
        <v>6</v>
      </c>
      <c r="O130" s="17">
        <v>8</v>
      </c>
      <c r="P130" s="7">
        <f>5200/29</f>
        <v>179.31034482758622</v>
      </c>
      <c r="Q130" s="7">
        <f>37693/83</f>
        <v>454.13253012048193</v>
      </c>
      <c r="S130" s="3" t="s">
        <v>11</v>
      </c>
      <c r="T130" s="4">
        <v>7</v>
      </c>
      <c r="U130" s="4">
        <v>10</v>
      </c>
      <c r="V130" s="4">
        <v>7</v>
      </c>
      <c r="W130" s="4">
        <v>2</v>
      </c>
      <c r="X130" s="17">
        <v>1</v>
      </c>
      <c r="Y130" s="7">
        <f>5200/29</f>
        <v>179.31034482758622</v>
      </c>
      <c r="Z130" s="7">
        <f>37693/83</f>
        <v>454.13253012048193</v>
      </c>
      <c r="AB130" s="3" t="s">
        <v>11</v>
      </c>
      <c r="AC130" s="4">
        <v>8</v>
      </c>
      <c r="AD130" s="4">
        <v>9</v>
      </c>
      <c r="AE130" s="4">
        <v>20</v>
      </c>
      <c r="AF130" s="4">
        <v>12</v>
      </c>
      <c r="AG130" s="17">
        <v>24</v>
      </c>
      <c r="AH130" s="7">
        <f>5200/29</f>
        <v>179.31034482758622</v>
      </c>
      <c r="AI130" s="7">
        <f>37693/83</f>
        <v>454.13253012048193</v>
      </c>
      <c r="AK130" s="3" t="s">
        <v>11</v>
      </c>
      <c r="AL130" s="4">
        <v>3</v>
      </c>
      <c r="AM130" s="4">
        <v>3</v>
      </c>
      <c r="AN130" s="4">
        <v>4</v>
      </c>
      <c r="AO130" s="4">
        <v>5</v>
      </c>
      <c r="AP130" s="17">
        <v>4</v>
      </c>
      <c r="AQ130" s="7">
        <f>5200/29</f>
        <v>179.31034482758622</v>
      </c>
      <c r="AR130" s="7">
        <f>37693/83</f>
        <v>454.13253012048193</v>
      </c>
      <c r="AT130" s="3" t="s">
        <v>11</v>
      </c>
      <c r="AU130" s="4">
        <v>517</v>
      </c>
      <c r="AV130" s="4">
        <v>561</v>
      </c>
      <c r="AW130" s="4">
        <v>699</v>
      </c>
      <c r="AX130" s="4">
        <v>525</v>
      </c>
      <c r="AY130" s="17">
        <v>822</v>
      </c>
      <c r="AZ130" s="7">
        <f>5200/29</f>
        <v>179.31034482758622</v>
      </c>
      <c r="BA130" s="7">
        <f>37693/83</f>
        <v>454.13253012048193</v>
      </c>
    </row>
    <row r="131" spans="1:53" ht="12.75">
      <c r="A131" s="2" t="s">
        <v>12</v>
      </c>
      <c r="B131" s="4">
        <v>46</v>
      </c>
      <c r="C131" s="4">
        <v>32</v>
      </c>
      <c r="D131" s="4">
        <v>26</v>
      </c>
      <c r="E131" s="4">
        <v>25</v>
      </c>
      <c r="F131" s="17">
        <v>18</v>
      </c>
      <c r="G131" s="7">
        <f>5149/29</f>
        <v>177.55172413793105</v>
      </c>
      <c r="H131" s="7">
        <f>106836/83</f>
        <v>1287.1807228915663</v>
      </c>
      <c r="J131" s="3" t="s">
        <v>12</v>
      </c>
      <c r="K131" s="4">
        <v>22</v>
      </c>
      <c r="L131" s="4">
        <v>18</v>
      </c>
      <c r="M131" s="4">
        <v>7</v>
      </c>
      <c r="N131" s="4">
        <v>6</v>
      </c>
      <c r="O131" s="17">
        <v>11</v>
      </c>
      <c r="P131" s="7">
        <f>5149/29</f>
        <v>177.55172413793105</v>
      </c>
      <c r="Q131" s="7">
        <f>106836/83</f>
        <v>1287.1807228915663</v>
      </c>
      <c r="S131" s="3" t="s">
        <v>12</v>
      </c>
      <c r="T131" s="4">
        <v>42</v>
      </c>
      <c r="U131" s="4">
        <v>33</v>
      </c>
      <c r="V131" s="4">
        <v>23</v>
      </c>
      <c r="W131" s="4">
        <v>15</v>
      </c>
      <c r="X131" s="17">
        <v>14</v>
      </c>
      <c r="Y131" s="7">
        <f>5149/29</f>
        <v>177.55172413793105</v>
      </c>
      <c r="Z131" s="7">
        <f>106836/83</f>
        <v>1287.1807228915663</v>
      </c>
      <c r="AB131" s="3" t="s">
        <v>12</v>
      </c>
      <c r="AC131" s="4">
        <v>36</v>
      </c>
      <c r="AD131" s="4">
        <v>20</v>
      </c>
      <c r="AE131" s="4">
        <v>16</v>
      </c>
      <c r="AF131" s="4">
        <v>20</v>
      </c>
      <c r="AG131" s="17">
        <v>52</v>
      </c>
      <c r="AH131" s="7">
        <f>5149/29</f>
        <v>177.55172413793105</v>
      </c>
      <c r="AI131" s="7">
        <f>106836/83</f>
        <v>1287.1807228915663</v>
      </c>
      <c r="AK131" s="3" t="s">
        <v>12</v>
      </c>
      <c r="AL131" s="4">
        <v>1</v>
      </c>
      <c r="AM131" s="4">
        <v>1</v>
      </c>
      <c r="AN131" s="4">
        <v>1</v>
      </c>
      <c r="AO131" s="4">
        <v>1</v>
      </c>
      <c r="AP131" s="17">
        <v>1</v>
      </c>
      <c r="AQ131" s="7">
        <f>5149/29</f>
        <v>177.55172413793105</v>
      </c>
      <c r="AR131" s="7">
        <f>106836/83</f>
        <v>1287.1807228915663</v>
      </c>
      <c r="AT131" s="3" t="s">
        <v>12</v>
      </c>
      <c r="AU131" s="4">
        <v>933</v>
      </c>
      <c r="AV131" s="4">
        <v>1153</v>
      </c>
      <c r="AW131" s="4">
        <v>1071</v>
      </c>
      <c r="AX131" s="4">
        <v>1107</v>
      </c>
      <c r="AY131" s="17">
        <v>1190</v>
      </c>
      <c r="AZ131" s="7">
        <f>5149/29</f>
        <v>177.55172413793105</v>
      </c>
      <c r="BA131" s="7">
        <f>106836/83</f>
        <v>1287.1807228915663</v>
      </c>
    </row>
    <row r="132" spans="1:53" ht="12.75">
      <c r="A132" s="2" t="s">
        <v>13</v>
      </c>
      <c r="B132" s="4">
        <v>10</v>
      </c>
      <c r="C132" s="4">
        <v>7</v>
      </c>
      <c r="D132" s="4">
        <v>4</v>
      </c>
      <c r="E132" s="4">
        <v>4</v>
      </c>
      <c r="F132" s="17">
        <v>4</v>
      </c>
      <c r="G132" s="7">
        <f>5624/29</f>
        <v>193.93103448275863</v>
      </c>
      <c r="H132" s="7">
        <f>58664/83</f>
        <v>706.7951807228916</v>
      </c>
      <c r="J132" s="3" t="s">
        <v>13</v>
      </c>
      <c r="K132" s="4">
        <v>8</v>
      </c>
      <c r="L132" s="4">
        <v>8</v>
      </c>
      <c r="M132" s="4">
        <v>8</v>
      </c>
      <c r="N132" s="4">
        <v>8</v>
      </c>
      <c r="O132" s="17">
        <v>9</v>
      </c>
      <c r="P132" s="7">
        <f>5624/29</f>
        <v>193.93103448275863</v>
      </c>
      <c r="Q132" s="7">
        <f>58664/83</f>
        <v>706.7951807228916</v>
      </c>
      <c r="S132" s="3" t="s">
        <v>13</v>
      </c>
      <c r="T132" s="4">
        <v>8</v>
      </c>
      <c r="U132" s="4">
        <v>8</v>
      </c>
      <c r="V132" s="4">
        <v>6</v>
      </c>
      <c r="W132" s="4">
        <v>5</v>
      </c>
      <c r="X132" s="17">
        <v>6</v>
      </c>
      <c r="Y132" s="7">
        <f>5624/29</f>
        <v>193.93103448275863</v>
      </c>
      <c r="Z132" s="7">
        <f>58664/83</f>
        <v>706.7951807228916</v>
      </c>
      <c r="AB132" s="3" t="s">
        <v>13</v>
      </c>
      <c r="AC132" s="4">
        <v>16</v>
      </c>
      <c r="AD132" s="4">
        <v>17</v>
      </c>
      <c r="AE132" s="4">
        <v>15</v>
      </c>
      <c r="AF132" s="4">
        <v>17</v>
      </c>
      <c r="AG132" s="17">
        <v>31</v>
      </c>
      <c r="AH132" s="7">
        <f>5624/29</f>
        <v>193.93103448275863</v>
      </c>
      <c r="AI132" s="7">
        <f>58664/83</f>
        <v>706.7951807228916</v>
      </c>
      <c r="AK132" s="3" t="s">
        <v>13</v>
      </c>
      <c r="AL132" s="4">
        <v>2</v>
      </c>
      <c r="AM132" s="4">
        <v>2</v>
      </c>
      <c r="AN132" s="4">
        <v>3</v>
      </c>
      <c r="AO132" s="4">
        <v>3</v>
      </c>
      <c r="AP132" s="17">
        <v>3</v>
      </c>
      <c r="AQ132" s="7">
        <f>5624/29</f>
        <v>193.93103448275863</v>
      </c>
      <c r="AR132" s="7">
        <f>58664/83</f>
        <v>706.7951807228916</v>
      </c>
      <c r="AT132" s="3" t="s">
        <v>13</v>
      </c>
      <c r="AU132" s="4">
        <v>450</v>
      </c>
      <c r="AV132" s="4">
        <v>579</v>
      </c>
      <c r="AW132" s="4">
        <v>775</v>
      </c>
      <c r="AX132" s="4">
        <v>842</v>
      </c>
      <c r="AY132" s="17">
        <v>965</v>
      </c>
      <c r="AZ132" s="7">
        <f>5624/29</f>
        <v>193.93103448275863</v>
      </c>
      <c r="BA132" s="7">
        <f>58664/83</f>
        <v>706.7951807228916</v>
      </c>
    </row>
    <row r="133" spans="1:53" ht="12.75">
      <c r="A133" s="2"/>
      <c r="B133" s="3"/>
      <c r="C133" s="3"/>
      <c r="D133" s="3"/>
      <c r="E133" s="4"/>
      <c r="F133" s="17"/>
      <c r="G133" s="3"/>
      <c r="H133" s="3"/>
      <c r="J133" s="3"/>
      <c r="K133" s="3"/>
      <c r="L133" s="3"/>
      <c r="M133" s="3"/>
      <c r="N133" s="4"/>
      <c r="O133" s="17"/>
      <c r="P133" s="3"/>
      <c r="Q133" s="3"/>
      <c r="S133" s="3"/>
      <c r="T133" s="3"/>
      <c r="U133" s="3"/>
      <c r="V133" s="3"/>
      <c r="W133" s="4"/>
      <c r="X133" s="17"/>
      <c r="Y133" s="3"/>
      <c r="Z133" s="3"/>
      <c r="AB133" s="3"/>
      <c r="AC133" s="3"/>
      <c r="AD133" s="3"/>
      <c r="AE133" s="3"/>
      <c r="AF133" s="4"/>
      <c r="AG133" s="17"/>
      <c r="AH133" s="3"/>
      <c r="AI133" s="3"/>
      <c r="AK133" s="3"/>
      <c r="AL133" s="3"/>
      <c r="AM133" s="3"/>
      <c r="AN133" s="3"/>
      <c r="AO133" s="4"/>
      <c r="AP133" s="17"/>
      <c r="AQ133" s="3"/>
      <c r="AR133" s="3"/>
      <c r="AT133" s="3"/>
      <c r="AU133" s="3"/>
      <c r="AV133" s="3"/>
      <c r="AW133" s="3"/>
      <c r="AX133" s="4"/>
      <c r="AY133" s="17"/>
      <c r="AZ133" s="3"/>
      <c r="BA133" s="3"/>
    </row>
    <row r="134" spans="1:53" ht="12.75">
      <c r="A134" s="48" t="s">
        <v>14</v>
      </c>
      <c r="B134" s="5">
        <v>9.83</v>
      </c>
      <c r="C134" s="5">
        <v>8.37</v>
      </c>
      <c r="D134" s="5">
        <v>8.98</v>
      </c>
      <c r="E134" s="5">
        <v>8.98</v>
      </c>
      <c r="F134" s="18">
        <v>12.68</v>
      </c>
      <c r="G134" s="5">
        <v>3.61</v>
      </c>
      <c r="H134" s="5">
        <v>4.35</v>
      </c>
      <c r="I134" s="6"/>
      <c r="J134" s="6" t="s">
        <v>14</v>
      </c>
      <c r="K134" s="5">
        <v>8.41</v>
      </c>
      <c r="L134" s="5">
        <v>6.08</v>
      </c>
      <c r="M134" s="5">
        <v>3.33</v>
      </c>
      <c r="N134" s="5">
        <v>2.41</v>
      </c>
      <c r="O134" s="18">
        <v>4.56</v>
      </c>
      <c r="P134" s="5">
        <v>3.61</v>
      </c>
      <c r="Q134" s="5">
        <v>4.35</v>
      </c>
      <c r="R134" s="6"/>
      <c r="S134" s="6" t="s">
        <v>14</v>
      </c>
      <c r="T134" s="5">
        <v>9.45</v>
      </c>
      <c r="U134" s="5">
        <v>8.02</v>
      </c>
      <c r="V134" s="5">
        <v>6.51</v>
      </c>
      <c r="W134" s="5">
        <v>5.11</v>
      </c>
      <c r="X134" s="18">
        <v>5.69</v>
      </c>
      <c r="Y134" s="5">
        <v>3.61</v>
      </c>
      <c r="Z134" s="5">
        <v>4.35</v>
      </c>
      <c r="AA134" s="6"/>
      <c r="AB134" s="6" t="s">
        <v>14</v>
      </c>
      <c r="AC134" s="5">
        <v>7.01</v>
      </c>
      <c r="AD134" s="5">
        <v>4.73</v>
      </c>
      <c r="AE134" s="5">
        <v>3.31</v>
      </c>
      <c r="AF134" s="5">
        <v>3.96</v>
      </c>
      <c r="AG134" s="18">
        <v>5.26</v>
      </c>
      <c r="AH134" s="5">
        <v>3.61</v>
      </c>
      <c r="AI134" s="5">
        <v>4.35</v>
      </c>
      <c r="AJ134" s="6"/>
      <c r="AK134" s="6" t="s">
        <v>14</v>
      </c>
      <c r="AL134" s="5">
        <v>3.33</v>
      </c>
      <c r="AM134" s="5">
        <v>2.74</v>
      </c>
      <c r="AN134" s="5">
        <v>2.02</v>
      </c>
      <c r="AO134" s="5">
        <v>2.63</v>
      </c>
      <c r="AP134" s="18">
        <v>2.57</v>
      </c>
      <c r="AQ134" s="5">
        <v>3.61</v>
      </c>
      <c r="AR134" s="5">
        <v>4.35</v>
      </c>
      <c r="AS134" s="6"/>
      <c r="AT134" s="6" t="s">
        <v>14</v>
      </c>
      <c r="AU134" s="5">
        <v>6.67</v>
      </c>
      <c r="AV134" s="5">
        <v>5.75</v>
      </c>
      <c r="AW134" s="5">
        <v>3.78</v>
      </c>
      <c r="AX134" s="5">
        <v>3.2</v>
      </c>
      <c r="AY134" s="18">
        <v>3.44</v>
      </c>
      <c r="AZ134" s="5">
        <v>3.61</v>
      </c>
      <c r="BA134" s="5">
        <v>4.35</v>
      </c>
    </row>
    <row r="135" spans="1:53" ht="12.75">
      <c r="A135" s="48" t="s">
        <v>18</v>
      </c>
      <c r="B135" s="5">
        <v>5.73</v>
      </c>
      <c r="C135" s="5">
        <v>9.7</v>
      </c>
      <c r="D135" s="6">
        <v>12.81</v>
      </c>
      <c r="E135" s="5">
        <v>-1.63</v>
      </c>
      <c r="F135" s="18">
        <v>-5.64</v>
      </c>
      <c r="G135" s="5">
        <v>4.93</v>
      </c>
      <c r="H135" s="5">
        <v>3.79</v>
      </c>
      <c r="I135" s="6"/>
      <c r="J135" s="6" t="s">
        <v>18</v>
      </c>
      <c r="K135" s="5">
        <v>1.83</v>
      </c>
      <c r="L135" s="5">
        <v>3.05</v>
      </c>
      <c r="M135" s="6">
        <v>4.14</v>
      </c>
      <c r="N135" s="5">
        <v>2.73</v>
      </c>
      <c r="O135" s="18">
        <v>1.65</v>
      </c>
      <c r="P135" s="5">
        <v>4.93</v>
      </c>
      <c r="Q135" s="5">
        <v>3.79</v>
      </c>
      <c r="R135" s="6"/>
      <c r="S135" s="6" t="s">
        <v>18</v>
      </c>
      <c r="T135" s="5">
        <v>-3.34</v>
      </c>
      <c r="U135" s="5">
        <v>-0.88</v>
      </c>
      <c r="V135" s="6">
        <v>-0.42</v>
      </c>
      <c r="W135" s="5">
        <v>-1.89</v>
      </c>
      <c r="X135" s="18">
        <v>-1.87</v>
      </c>
      <c r="Y135" s="5">
        <v>4.93</v>
      </c>
      <c r="Z135" s="5">
        <v>3.79</v>
      </c>
      <c r="AA135" s="6"/>
      <c r="AB135" s="6" t="s">
        <v>18</v>
      </c>
      <c r="AC135" s="5">
        <v>3.37</v>
      </c>
      <c r="AD135" s="5">
        <v>4.11</v>
      </c>
      <c r="AE135" s="6">
        <v>1.77</v>
      </c>
      <c r="AF135" s="5">
        <v>0.9</v>
      </c>
      <c r="AG135" s="18">
        <v>1.39</v>
      </c>
      <c r="AH135" s="5">
        <v>4.93</v>
      </c>
      <c r="AI135" s="5">
        <v>3.79</v>
      </c>
      <c r="AJ135" s="6"/>
      <c r="AK135" s="6" t="s">
        <v>18</v>
      </c>
      <c r="AL135" s="5">
        <v>5.85</v>
      </c>
      <c r="AM135" s="5">
        <v>4.83</v>
      </c>
      <c r="AN135" s="6">
        <v>6.83</v>
      </c>
      <c r="AO135" s="5">
        <v>8.5</v>
      </c>
      <c r="AP135" s="18">
        <v>9.01</v>
      </c>
      <c r="AQ135" s="5">
        <v>4.93</v>
      </c>
      <c r="AR135" s="5">
        <v>3.79</v>
      </c>
      <c r="AS135" s="6"/>
      <c r="AT135" s="6" t="s">
        <v>18</v>
      </c>
      <c r="AU135" s="5">
        <v>7.36</v>
      </c>
      <c r="AV135" s="5">
        <v>7.49</v>
      </c>
      <c r="AW135" s="6">
        <v>6.69</v>
      </c>
      <c r="AX135" s="5">
        <v>6.07</v>
      </c>
      <c r="AY135" s="18">
        <v>5.71</v>
      </c>
      <c r="AZ135" s="5">
        <v>4.93</v>
      </c>
      <c r="BA135" s="5">
        <v>3.79</v>
      </c>
    </row>
    <row r="136" spans="1:53" ht="12.75">
      <c r="A136" s="48" t="s">
        <v>54</v>
      </c>
      <c r="B136" s="5">
        <v>6.12</v>
      </c>
      <c r="C136" s="5">
        <v>4.55</v>
      </c>
      <c r="D136" s="5">
        <v>4.22</v>
      </c>
      <c r="E136" s="5">
        <v>3.41</v>
      </c>
      <c r="F136" s="18">
        <v>5.37</v>
      </c>
      <c r="G136" s="5">
        <v>18.35</v>
      </c>
      <c r="H136" s="5">
        <v>20.17</v>
      </c>
      <c r="I136" s="6"/>
      <c r="J136" s="6" t="s">
        <v>54</v>
      </c>
      <c r="K136" s="5">
        <v>10.59</v>
      </c>
      <c r="L136" s="5">
        <v>13.19</v>
      </c>
      <c r="M136" s="5">
        <v>23.42</v>
      </c>
      <c r="N136" s="5">
        <v>26.87</v>
      </c>
      <c r="O136" s="18">
        <v>19.67</v>
      </c>
      <c r="P136" s="5">
        <v>18.35</v>
      </c>
      <c r="Q136" s="5">
        <v>20.17</v>
      </c>
      <c r="R136" s="6"/>
      <c r="S136" s="6" t="s">
        <v>54</v>
      </c>
      <c r="T136" s="5">
        <v>5.36</v>
      </c>
      <c r="U136" s="5">
        <v>7.97</v>
      </c>
      <c r="V136" s="5">
        <v>5.37</v>
      </c>
      <c r="W136" s="5">
        <v>6.87</v>
      </c>
      <c r="X136" s="18">
        <v>7.73</v>
      </c>
      <c r="Y136" s="5">
        <v>18.35</v>
      </c>
      <c r="Z136" s="5">
        <v>20.17</v>
      </c>
      <c r="AA136" s="6"/>
      <c r="AB136" s="6" t="s">
        <v>54</v>
      </c>
      <c r="AC136" s="5">
        <v>13.76</v>
      </c>
      <c r="AD136" s="5">
        <v>21.27</v>
      </c>
      <c r="AE136" s="5">
        <v>21.13</v>
      </c>
      <c r="AF136" s="5">
        <v>19.77</v>
      </c>
      <c r="AG136" s="18">
        <v>20.56</v>
      </c>
      <c r="AH136" s="5">
        <v>18.35</v>
      </c>
      <c r="AI136" s="5">
        <v>20.17</v>
      </c>
      <c r="AJ136" s="6"/>
      <c r="AK136" s="6" t="s">
        <v>54</v>
      </c>
      <c r="AL136" s="5">
        <v>37.91</v>
      </c>
      <c r="AM136" s="5">
        <v>36.72</v>
      </c>
      <c r="AN136" s="5">
        <v>39.67</v>
      </c>
      <c r="AO136" s="5">
        <v>41.96</v>
      </c>
      <c r="AP136" s="18">
        <v>44.44</v>
      </c>
      <c r="AQ136" s="5">
        <v>18.35</v>
      </c>
      <c r="AR136" s="5">
        <v>20.17</v>
      </c>
      <c r="AS136" s="6"/>
      <c r="AT136" s="6" t="s">
        <v>54</v>
      </c>
      <c r="AU136" s="5">
        <v>10.31</v>
      </c>
      <c r="AV136" s="5">
        <v>9.53</v>
      </c>
      <c r="AW136" s="5">
        <v>11.94</v>
      </c>
      <c r="AX136" s="5">
        <v>14.66</v>
      </c>
      <c r="AY136" s="18">
        <v>18.3</v>
      </c>
      <c r="AZ136" s="5">
        <v>18.35</v>
      </c>
      <c r="BA136" s="5">
        <v>20.17</v>
      </c>
    </row>
    <row r="137" spans="1:53" ht="12.75">
      <c r="A137" s="48"/>
      <c r="B137" s="6"/>
      <c r="C137" s="6"/>
      <c r="D137" s="6"/>
      <c r="E137" s="5"/>
      <c r="F137" s="18"/>
      <c r="G137" s="6"/>
      <c r="H137" s="6"/>
      <c r="I137" s="6"/>
      <c r="J137" s="6"/>
      <c r="K137" s="6"/>
      <c r="L137" s="6"/>
      <c r="M137" s="6"/>
      <c r="N137" s="5"/>
      <c r="O137" s="18"/>
      <c r="P137" s="6"/>
      <c r="Q137" s="6"/>
      <c r="R137" s="6"/>
      <c r="S137" s="6"/>
      <c r="T137" s="6"/>
      <c r="U137" s="6"/>
      <c r="V137" s="6"/>
      <c r="W137" s="5"/>
      <c r="X137" s="18"/>
      <c r="Y137" s="6"/>
      <c r="Z137" s="6"/>
      <c r="AA137" s="6"/>
      <c r="AB137" s="6"/>
      <c r="AC137" s="6"/>
      <c r="AD137" s="6"/>
      <c r="AE137" s="6"/>
      <c r="AF137" s="5"/>
      <c r="AG137" s="18"/>
      <c r="AH137" s="6"/>
      <c r="AI137" s="6"/>
      <c r="AJ137" s="6"/>
      <c r="AK137" s="6"/>
      <c r="AL137" s="6"/>
      <c r="AM137" s="6"/>
      <c r="AN137" s="6"/>
      <c r="AO137" s="5"/>
      <c r="AP137" s="18"/>
      <c r="AQ137" s="6"/>
      <c r="AR137" s="6"/>
      <c r="AS137" s="6"/>
      <c r="AT137" s="6"/>
      <c r="AU137" s="6"/>
      <c r="AV137" s="6"/>
      <c r="AW137" s="6"/>
      <c r="AX137" s="5"/>
      <c r="AY137" s="18"/>
      <c r="AZ137" s="6"/>
      <c r="BA137" s="6"/>
    </row>
    <row r="138" spans="1:53" ht="12.75">
      <c r="A138" s="48" t="s">
        <v>15</v>
      </c>
      <c r="B138" s="5">
        <v>1.59</v>
      </c>
      <c r="C138" s="5">
        <v>3.24</v>
      </c>
      <c r="D138" s="5">
        <v>1.76</v>
      </c>
      <c r="E138" s="5">
        <v>1.1</v>
      </c>
      <c r="F138" s="18">
        <v>1.3</v>
      </c>
      <c r="G138" s="5">
        <v>2.09</v>
      </c>
      <c r="H138" s="5">
        <v>1</v>
      </c>
      <c r="I138" s="6"/>
      <c r="J138" s="6" t="s">
        <v>15</v>
      </c>
      <c r="K138" s="5">
        <v>-1.57</v>
      </c>
      <c r="L138" s="5">
        <v>0.31</v>
      </c>
      <c r="M138" s="5">
        <v>2.41</v>
      </c>
      <c r="N138" s="5">
        <v>2.13</v>
      </c>
      <c r="O138" s="18">
        <v>0.88</v>
      </c>
      <c r="P138" s="5">
        <v>2.09</v>
      </c>
      <c r="Q138" s="5">
        <v>1</v>
      </c>
      <c r="R138" s="6"/>
      <c r="S138" s="6" t="s">
        <v>15</v>
      </c>
      <c r="T138" s="5">
        <v>-5.8</v>
      </c>
      <c r="U138" s="5">
        <v>2.19</v>
      </c>
      <c r="V138" s="5">
        <v>-0.38</v>
      </c>
      <c r="W138" s="5">
        <v>-2.86</v>
      </c>
      <c r="X138" s="18">
        <v>-1.31</v>
      </c>
      <c r="Y138" s="5">
        <v>2.09</v>
      </c>
      <c r="Z138" s="5">
        <v>1</v>
      </c>
      <c r="AA138" s="6"/>
      <c r="AB138" s="6" t="s">
        <v>15</v>
      </c>
      <c r="AC138" s="5">
        <v>-2.18</v>
      </c>
      <c r="AD138" s="5">
        <v>-1.44</v>
      </c>
      <c r="AE138" s="5">
        <v>2.14</v>
      </c>
      <c r="AF138" s="5">
        <v>1.61</v>
      </c>
      <c r="AG138" s="18">
        <v>1.15</v>
      </c>
      <c r="AH138" s="5">
        <v>2.09</v>
      </c>
      <c r="AI138" s="5">
        <v>1</v>
      </c>
      <c r="AJ138" s="6"/>
      <c r="AK138" s="6" t="s">
        <v>15</v>
      </c>
      <c r="AL138" s="5">
        <v>1.4</v>
      </c>
      <c r="AM138" s="5">
        <v>1.23</v>
      </c>
      <c r="AN138" s="5">
        <v>3.34</v>
      </c>
      <c r="AO138" s="5">
        <v>4</v>
      </c>
      <c r="AP138" s="18">
        <v>1.69</v>
      </c>
      <c r="AQ138" s="5">
        <v>2.09</v>
      </c>
      <c r="AR138" s="5">
        <v>1</v>
      </c>
      <c r="AS138" s="6"/>
      <c r="AT138" s="6" t="s">
        <v>15</v>
      </c>
      <c r="AU138" s="5">
        <v>2.03</v>
      </c>
      <c r="AV138" s="5">
        <v>2.92</v>
      </c>
      <c r="AW138" s="5">
        <v>1.74</v>
      </c>
      <c r="AX138" s="5">
        <v>1.97</v>
      </c>
      <c r="AY138" s="18">
        <v>2.49</v>
      </c>
      <c r="AZ138" s="5">
        <v>2.09</v>
      </c>
      <c r="BA138" s="5">
        <v>1</v>
      </c>
    </row>
    <row r="139" spans="1:53" ht="12.75">
      <c r="A139" s="48" t="s">
        <v>16</v>
      </c>
      <c r="B139" s="5">
        <v>20.54</v>
      </c>
      <c r="C139" s="5">
        <v>39.38</v>
      </c>
      <c r="D139" s="5">
        <v>54.71</v>
      </c>
      <c r="E139" s="5">
        <v>60.14</v>
      </c>
      <c r="F139" s="18">
        <v>136.92</v>
      </c>
      <c r="G139" s="5">
        <v>12.58</v>
      </c>
      <c r="H139" s="6">
        <v>12.24</v>
      </c>
      <c r="I139" s="6"/>
      <c r="J139" s="6" t="s">
        <v>16</v>
      </c>
      <c r="K139" s="5">
        <v>11.14</v>
      </c>
      <c r="L139" s="5">
        <v>18.5</v>
      </c>
      <c r="M139" s="5">
        <v>36.09</v>
      </c>
      <c r="N139" s="5">
        <v>28.76</v>
      </c>
      <c r="O139" s="18">
        <v>65.76</v>
      </c>
      <c r="P139" s="5">
        <v>12.58</v>
      </c>
      <c r="Q139" s="6">
        <v>12.24</v>
      </c>
      <c r="R139" s="6"/>
      <c r="S139" s="6" t="s">
        <v>16</v>
      </c>
      <c r="T139" s="5">
        <v>18.86</v>
      </c>
      <c r="U139" s="5">
        <v>14.62</v>
      </c>
      <c r="V139" s="5">
        <v>16.48</v>
      </c>
      <c r="W139" s="5">
        <v>13.52</v>
      </c>
      <c r="X139" s="18">
        <v>9.58</v>
      </c>
      <c r="Y139" s="5">
        <v>12.58</v>
      </c>
      <c r="Z139" s="6">
        <v>12.24</v>
      </c>
      <c r="AA139" s="6"/>
      <c r="AB139" s="6" t="s">
        <v>16</v>
      </c>
      <c r="AC139" s="5">
        <v>12.85</v>
      </c>
      <c r="AD139" s="5">
        <v>32.63</v>
      </c>
      <c r="AE139" s="5">
        <v>32.71</v>
      </c>
      <c r="AF139" s="5">
        <v>64.81</v>
      </c>
      <c r="AG139" s="18">
        <v>37.4</v>
      </c>
      <c r="AH139" s="5">
        <v>12.58</v>
      </c>
      <c r="AI139" s="6">
        <v>12.24</v>
      </c>
      <c r="AJ139" s="6"/>
      <c r="AK139" s="6" t="s">
        <v>16</v>
      </c>
      <c r="AL139" s="5">
        <v>113.64</v>
      </c>
      <c r="AM139" s="5">
        <v>46.86</v>
      </c>
      <c r="AN139" s="5">
        <v>60.55</v>
      </c>
      <c r="AO139" s="5">
        <v>105.81</v>
      </c>
      <c r="AP139" s="18">
        <v>93.78</v>
      </c>
      <c r="AQ139" s="5">
        <v>12.58</v>
      </c>
      <c r="AR139" s="6">
        <v>12.24</v>
      </c>
      <c r="AS139" s="6"/>
      <c r="AT139" s="6" t="s">
        <v>16</v>
      </c>
      <c r="AU139" s="5">
        <v>9.28</v>
      </c>
      <c r="AV139" s="5">
        <v>10.56</v>
      </c>
      <c r="AW139" s="5">
        <v>10.87</v>
      </c>
      <c r="AX139" s="5">
        <v>10.46</v>
      </c>
      <c r="AY139" s="18">
        <v>9.93</v>
      </c>
      <c r="AZ139" s="5">
        <v>12.58</v>
      </c>
      <c r="BA139" s="6">
        <v>12.24</v>
      </c>
    </row>
    <row r="140" spans="1:53" ht="12.75">
      <c r="A140" s="48" t="s">
        <v>17</v>
      </c>
      <c r="B140" s="31">
        <v>0</v>
      </c>
      <c r="C140" s="6">
        <v>0</v>
      </c>
      <c r="D140" s="6">
        <v>0</v>
      </c>
      <c r="E140" s="5">
        <v>0</v>
      </c>
      <c r="F140" s="18">
        <v>0</v>
      </c>
      <c r="G140" s="5">
        <v>0.78</v>
      </c>
      <c r="H140" s="5">
        <v>1.22</v>
      </c>
      <c r="I140" s="6"/>
      <c r="J140" s="6" t="s">
        <v>17</v>
      </c>
      <c r="K140" s="6">
        <v>4.75</v>
      </c>
      <c r="L140" s="6">
        <v>0.76</v>
      </c>
      <c r="M140" s="6">
        <v>0.76</v>
      </c>
      <c r="N140" s="5">
        <v>0</v>
      </c>
      <c r="O140" s="18">
        <v>0.15</v>
      </c>
      <c r="P140" s="5">
        <v>0.78</v>
      </c>
      <c r="Q140" s="5">
        <v>1.22</v>
      </c>
      <c r="R140" s="6"/>
      <c r="S140" s="6" t="s">
        <v>17</v>
      </c>
      <c r="T140" s="6">
        <v>41.52</v>
      </c>
      <c r="U140" s="6">
        <v>42.15</v>
      </c>
      <c r="V140" s="6">
        <v>61.37</v>
      </c>
      <c r="W140" s="5">
        <v>55.05</v>
      </c>
      <c r="X140" s="18">
        <v>41.58</v>
      </c>
      <c r="Y140" s="5">
        <v>0.78</v>
      </c>
      <c r="Z140" s="5">
        <v>1.22</v>
      </c>
      <c r="AA140" s="6"/>
      <c r="AB140" s="6" t="s">
        <v>17</v>
      </c>
      <c r="AC140" s="6">
        <v>0.52</v>
      </c>
      <c r="AD140" s="35">
        <v>0</v>
      </c>
      <c r="AE140" s="6">
        <v>1.37</v>
      </c>
      <c r="AF140" s="5">
        <v>0</v>
      </c>
      <c r="AG140" s="18">
        <v>0</v>
      </c>
      <c r="AH140" s="5">
        <v>0.78</v>
      </c>
      <c r="AI140" s="5">
        <v>1.22</v>
      </c>
      <c r="AJ140" s="6"/>
      <c r="AK140" s="6" t="s">
        <v>17</v>
      </c>
      <c r="AL140" s="6">
        <v>1.58</v>
      </c>
      <c r="AM140" s="6">
        <v>6.77</v>
      </c>
      <c r="AN140" s="6">
        <v>1.47</v>
      </c>
      <c r="AO140" s="5">
        <v>1.9</v>
      </c>
      <c r="AP140" s="18">
        <v>0.75</v>
      </c>
      <c r="AQ140" s="5">
        <v>0.78</v>
      </c>
      <c r="AR140" s="5">
        <v>1.22</v>
      </c>
      <c r="AS140" s="6"/>
      <c r="AT140" s="6" t="s">
        <v>17</v>
      </c>
      <c r="AU140" s="6">
        <v>0.4</v>
      </c>
      <c r="AV140" s="35">
        <v>0.31</v>
      </c>
      <c r="AW140" s="6">
        <v>0.52</v>
      </c>
      <c r="AX140" s="5">
        <v>1.12</v>
      </c>
      <c r="AY140" s="18">
        <v>1.57</v>
      </c>
      <c r="AZ140" s="5">
        <v>0.78</v>
      </c>
      <c r="BA140" s="5">
        <v>1.22</v>
      </c>
    </row>
    <row r="141" spans="1:53" ht="12.75">
      <c r="A141" s="3"/>
      <c r="B141" s="3"/>
      <c r="C141" s="3"/>
      <c r="D141" s="3"/>
      <c r="E141" s="3"/>
      <c r="F141" s="3"/>
      <c r="G141" s="3"/>
      <c r="H141" s="3"/>
      <c r="J141" s="3"/>
      <c r="K141" s="3"/>
      <c r="L141" s="3"/>
      <c r="M141" s="3"/>
      <c r="N141" s="3"/>
      <c r="O141" s="3"/>
      <c r="P141" s="3"/>
      <c r="Q141" s="3"/>
      <c r="S141" s="3"/>
      <c r="T141" s="3"/>
      <c r="U141" s="3"/>
      <c r="V141" s="3"/>
      <c r="W141" s="3"/>
      <c r="X141" s="3"/>
      <c r="Y141" s="3"/>
      <c r="Z141" s="3"/>
      <c r="AB141" s="3"/>
      <c r="AC141" s="3"/>
      <c r="AD141" s="3"/>
      <c r="AE141" s="3"/>
      <c r="AF141" s="3"/>
      <c r="AG141" s="3"/>
      <c r="AH141" s="3"/>
      <c r="AI141" s="3"/>
      <c r="AK141" s="3"/>
      <c r="AL141" s="3"/>
      <c r="AM141" s="3"/>
      <c r="AN141" s="3"/>
      <c r="AO141" s="3"/>
      <c r="AP141" s="3"/>
      <c r="AQ141" s="3"/>
      <c r="AR141" s="3"/>
      <c r="AT141" s="3"/>
      <c r="AU141" s="3"/>
      <c r="AV141" s="3"/>
      <c r="AW141" s="3"/>
      <c r="AX141" s="3"/>
      <c r="AY141" s="3"/>
      <c r="AZ141" s="3"/>
      <c r="BA141" s="3"/>
    </row>
    <row r="143" spans="1:28" ht="12.75">
      <c r="A143" s="26" t="s">
        <v>29</v>
      </c>
      <c r="B143" s="27"/>
      <c r="C143" s="27"/>
      <c r="D143" s="27"/>
      <c r="E143" s="27"/>
      <c r="F143" s="27"/>
      <c r="G143" s="26" t="s">
        <v>91</v>
      </c>
      <c r="H143" s="27"/>
      <c r="J143" s="50"/>
      <c r="K143" s="43"/>
      <c r="L143" s="43"/>
      <c r="M143" s="43"/>
      <c r="N143" s="43"/>
      <c r="O143" s="43"/>
      <c r="P143" s="43"/>
      <c r="Q143" s="50"/>
      <c r="AB143" s="1"/>
    </row>
    <row r="144" spans="1:53" ht="12.75">
      <c r="A144" s="3"/>
      <c r="B144" s="3"/>
      <c r="C144" s="3"/>
      <c r="D144" s="3"/>
      <c r="E144" s="3"/>
      <c r="F144" s="3"/>
      <c r="G144" s="34"/>
      <c r="H144" s="36" t="s">
        <v>19</v>
      </c>
      <c r="J144" s="4"/>
      <c r="K144" s="4"/>
      <c r="L144" s="4"/>
      <c r="M144" s="4"/>
      <c r="N144" s="4"/>
      <c r="O144" s="4"/>
      <c r="P144" s="4"/>
      <c r="Q144" s="51"/>
      <c r="AB144" s="3"/>
      <c r="AC144" s="3"/>
      <c r="AD144" s="3"/>
      <c r="AE144" s="3"/>
      <c r="AF144" s="3"/>
      <c r="AG144" s="3"/>
      <c r="AH144" s="3"/>
      <c r="AI144" s="3"/>
      <c r="AK144" s="3"/>
      <c r="AL144" s="3"/>
      <c r="AM144" s="3"/>
      <c r="AN144" s="3"/>
      <c r="AO144" s="3"/>
      <c r="AP144" s="3"/>
      <c r="AQ144" s="3"/>
      <c r="AR144" s="3"/>
      <c r="AT144" s="3"/>
      <c r="AU144" s="3"/>
      <c r="AV144" s="3"/>
      <c r="AW144" s="3"/>
      <c r="AX144" s="3"/>
      <c r="AY144" s="3"/>
      <c r="AZ144" s="3"/>
      <c r="BA144" s="3"/>
    </row>
    <row r="145" spans="1:17" ht="12.75">
      <c r="A145" s="32" t="s">
        <v>4</v>
      </c>
      <c r="B145" s="17" t="s">
        <v>0</v>
      </c>
      <c r="C145" s="17" t="s">
        <v>1</v>
      </c>
      <c r="D145" s="17" t="s">
        <v>2</v>
      </c>
      <c r="E145" s="17" t="s">
        <v>3</v>
      </c>
      <c r="F145" s="17" t="s">
        <v>117</v>
      </c>
      <c r="G145" s="17" t="s">
        <v>53</v>
      </c>
      <c r="H145" s="17" t="s">
        <v>111</v>
      </c>
      <c r="J145" s="43"/>
      <c r="K145" s="43"/>
      <c r="L145" s="43"/>
      <c r="M145" s="43"/>
      <c r="N145" s="43"/>
      <c r="O145" s="4"/>
      <c r="P145" s="43"/>
      <c r="Q145" s="43"/>
    </row>
    <row r="146" spans="1:17" ht="12.75">
      <c r="A146" s="32"/>
      <c r="B146" s="17"/>
      <c r="C146" s="17"/>
      <c r="D146" s="17"/>
      <c r="E146" s="17"/>
      <c r="F146" s="17"/>
      <c r="G146" s="28" t="s">
        <v>117</v>
      </c>
      <c r="H146" s="28" t="s">
        <v>117</v>
      </c>
      <c r="J146" s="43"/>
      <c r="K146" s="43"/>
      <c r="L146" s="43"/>
      <c r="M146" s="43"/>
      <c r="N146" s="43"/>
      <c r="O146" s="43"/>
      <c r="P146" s="52"/>
      <c r="Q146" s="52"/>
    </row>
    <row r="147" spans="1:17" ht="12.75">
      <c r="A147" s="3" t="s">
        <v>5</v>
      </c>
      <c r="B147" s="3">
        <v>3</v>
      </c>
      <c r="C147" s="3">
        <v>3</v>
      </c>
      <c r="D147" s="3">
        <v>3</v>
      </c>
      <c r="E147" s="4">
        <v>3</v>
      </c>
      <c r="F147" s="17">
        <v>3</v>
      </c>
      <c r="G147" s="7">
        <f>261/29</f>
        <v>9</v>
      </c>
      <c r="H147" s="7">
        <f>(14039+35356+261+6746)/83</f>
        <v>679.5421686746988</v>
      </c>
      <c r="J147" s="4"/>
      <c r="K147" s="4"/>
      <c r="L147" s="4"/>
      <c r="M147" s="4"/>
      <c r="N147" s="4"/>
      <c r="O147" s="4"/>
      <c r="P147" s="10"/>
      <c r="Q147" s="10"/>
    </row>
    <row r="148" spans="1:17" ht="12.75">
      <c r="A148" s="2" t="s">
        <v>6</v>
      </c>
      <c r="B148" s="3">
        <v>38</v>
      </c>
      <c r="C148" s="3">
        <v>36</v>
      </c>
      <c r="D148" s="3">
        <v>29</v>
      </c>
      <c r="E148" s="11">
        <v>29</v>
      </c>
      <c r="F148" s="22">
        <v>29</v>
      </c>
      <c r="G148" s="7">
        <v>724</v>
      </c>
      <c r="H148" s="7">
        <v>10458</v>
      </c>
      <c r="J148" s="43"/>
      <c r="K148" s="43"/>
      <c r="L148" s="43"/>
      <c r="M148" s="43"/>
      <c r="N148" s="43"/>
      <c r="O148" s="43"/>
      <c r="P148" s="10"/>
      <c r="Q148" s="10"/>
    </row>
    <row r="149" spans="1:17" ht="12.75">
      <c r="A149" s="48" t="s">
        <v>20</v>
      </c>
      <c r="B149" s="6">
        <v>1012</v>
      </c>
      <c r="C149" s="6">
        <v>1124</v>
      </c>
      <c r="D149" s="6">
        <v>1523</v>
      </c>
      <c r="E149" s="5">
        <v>1191</v>
      </c>
      <c r="F149" s="18">
        <v>1688</v>
      </c>
      <c r="G149" s="6">
        <v>1006.24</v>
      </c>
      <c r="H149" s="6">
        <v>423.74</v>
      </c>
      <c r="I149" s="6"/>
      <c r="J149" s="47"/>
      <c r="K149" s="47"/>
      <c r="L149" s="47"/>
      <c r="M149" s="47"/>
      <c r="N149" s="47"/>
      <c r="O149" s="47"/>
      <c r="P149" s="5"/>
      <c r="Q149" s="5"/>
    </row>
    <row r="150" spans="1:17" ht="12.75">
      <c r="A150" s="48" t="s">
        <v>56</v>
      </c>
      <c r="B150" s="6">
        <v>8.08</v>
      </c>
      <c r="C150" s="6">
        <v>12</v>
      </c>
      <c r="D150" s="5">
        <v>20</v>
      </c>
      <c r="E150" s="5">
        <v>18</v>
      </c>
      <c r="F150" s="18">
        <v>10</v>
      </c>
      <c r="G150" s="6">
        <v>14.61</v>
      </c>
      <c r="H150" s="6">
        <v>2.84</v>
      </c>
      <c r="I150" s="6"/>
      <c r="J150" s="47"/>
      <c r="K150" s="47"/>
      <c r="L150" s="47"/>
      <c r="M150" s="47"/>
      <c r="N150" s="47"/>
      <c r="O150" s="47"/>
      <c r="P150" s="5"/>
      <c r="Q150" s="5"/>
    </row>
    <row r="151" spans="1:17" ht="12.75">
      <c r="A151" s="2"/>
      <c r="B151" s="3"/>
      <c r="C151" s="3"/>
      <c r="D151" s="3"/>
      <c r="E151" s="4"/>
      <c r="F151" s="17"/>
      <c r="G151" s="3"/>
      <c r="H151" s="3"/>
      <c r="J151" s="43"/>
      <c r="K151" s="43"/>
      <c r="L151" s="43"/>
      <c r="M151" s="43"/>
      <c r="N151" s="43"/>
      <c r="O151" s="43"/>
      <c r="P151" s="4"/>
      <c r="Q151" s="4"/>
    </row>
    <row r="152" spans="1:17" ht="12.75">
      <c r="A152" s="2" t="s">
        <v>119</v>
      </c>
      <c r="B152" s="3">
        <v>111</v>
      </c>
      <c r="C152" s="3">
        <v>115</v>
      </c>
      <c r="D152" s="3">
        <v>120</v>
      </c>
      <c r="E152" s="10">
        <v>126</v>
      </c>
      <c r="F152" s="21">
        <v>133</v>
      </c>
      <c r="G152" s="7">
        <f>(8940+15347)/29</f>
        <v>837.4827586206897</v>
      </c>
      <c r="H152" s="7">
        <f>(25180+157847)/83</f>
        <v>2205.144578313253</v>
      </c>
      <c r="J152" s="43"/>
      <c r="K152" s="43"/>
      <c r="L152" s="43"/>
      <c r="M152" s="43"/>
      <c r="N152" s="43"/>
      <c r="O152" s="43"/>
      <c r="P152" s="10"/>
      <c r="Q152" s="10"/>
    </row>
    <row r="153" spans="1:17" ht="12.75">
      <c r="A153" s="2" t="s">
        <v>7</v>
      </c>
      <c r="B153" s="3">
        <v>180</v>
      </c>
      <c r="C153" s="3">
        <v>156</v>
      </c>
      <c r="D153" s="4">
        <v>180</v>
      </c>
      <c r="E153" s="4">
        <v>150</v>
      </c>
      <c r="F153" s="17">
        <v>264</v>
      </c>
      <c r="G153" s="7">
        <f>113746/29</f>
        <v>3922.2758620689656</v>
      </c>
      <c r="H153" s="7">
        <f>2162472/83</f>
        <v>26053.87951807229</v>
      </c>
      <c r="J153" s="43"/>
      <c r="K153" s="43"/>
      <c r="L153" s="43"/>
      <c r="M153" s="43"/>
      <c r="N153" s="43"/>
      <c r="O153" s="43"/>
      <c r="P153" s="10"/>
      <c r="Q153" s="10"/>
    </row>
    <row r="154" spans="1:17" ht="12.75">
      <c r="A154" s="2" t="s">
        <v>8</v>
      </c>
      <c r="B154" s="3">
        <v>129</v>
      </c>
      <c r="C154" s="3">
        <v>106</v>
      </c>
      <c r="D154" s="4">
        <v>112</v>
      </c>
      <c r="E154" s="4">
        <v>140</v>
      </c>
      <c r="F154" s="17">
        <v>119</v>
      </c>
      <c r="G154" s="7">
        <f>53563/29</f>
        <v>1847</v>
      </c>
      <c r="H154" s="7">
        <f>866961/83</f>
        <v>10445.313253012047</v>
      </c>
      <c r="J154" s="43"/>
      <c r="K154" s="43"/>
      <c r="L154" s="43"/>
      <c r="M154" s="43"/>
      <c r="N154" s="43"/>
      <c r="O154" s="43"/>
      <c r="P154" s="10"/>
      <c r="Q154" s="10"/>
    </row>
    <row r="155" spans="1:17" ht="12.75">
      <c r="A155" s="2" t="s">
        <v>9</v>
      </c>
      <c r="B155" s="3">
        <v>194</v>
      </c>
      <c r="C155" s="3">
        <v>249</v>
      </c>
      <c r="D155" s="4">
        <v>262</v>
      </c>
      <c r="E155" s="4">
        <v>222</v>
      </c>
      <c r="F155" s="17">
        <v>225</v>
      </c>
      <c r="G155" s="7">
        <f>97555/29</f>
        <v>3363.9655172413795</v>
      </c>
      <c r="H155" s="7">
        <f>1515667/83</f>
        <v>18261.048192771083</v>
      </c>
      <c r="J155" s="43"/>
      <c r="K155" s="43"/>
      <c r="L155" s="43"/>
      <c r="M155" s="43"/>
      <c r="N155" s="43"/>
      <c r="O155" s="43"/>
      <c r="P155" s="10"/>
      <c r="Q155" s="10"/>
    </row>
    <row r="156" spans="1:17" ht="12.75">
      <c r="A156" s="2"/>
      <c r="B156" s="3"/>
      <c r="C156" s="3"/>
      <c r="D156" s="3"/>
      <c r="E156" s="4"/>
      <c r="F156" s="17"/>
      <c r="G156" s="7"/>
      <c r="H156" s="7"/>
      <c r="J156" s="43"/>
      <c r="K156" s="43"/>
      <c r="L156" s="43"/>
      <c r="M156" s="43"/>
      <c r="N156" s="43"/>
      <c r="O156" s="43"/>
      <c r="P156" s="10"/>
      <c r="Q156" s="10"/>
    </row>
    <row r="157" spans="1:17" ht="12.75">
      <c r="A157" s="2" t="s">
        <v>10</v>
      </c>
      <c r="B157" s="4">
        <v>36</v>
      </c>
      <c r="C157" s="4">
        <v>25</v>
      </c>
      <c r="D157" s="4">
        <v>29</v>
      </c>
      <c r="E157" s="4">
        <v>36</v>
      </c>
      <c r="F157" s="17">
        <v>40</v>
      </c>
      <c r="G157" s="7">
        <v>421.8965517241379</v>
      </c>
      <c r="H157" s="7">
        <f>184377/83</f>
        <v>2221.409638554217</v>
      </c>
      <c r="J157" s="43"/>
      <c r="K157" s="43"/>
      <c r="L157" s="43"/>
      <c r="M157" s="43"/>
      <c r="N157" s="43"/>
      <c r="O157" s="43"/>
      <c r="P157" s="10"/>
      <c r="Q157" s="10"/>
    </row>
    <row r="158" spans="1:17" ht="12.75">
      <c r="A158" s="2" t="s">
        <v>11</v>
      </c>
      <c r="B158" s="4">
        <v>12</v>
      </c>
      <c r="C158" s="4">
        <v>11</v>
      </c>
      <c r="D158" s="4">
        <v>14</v>
      </c>
      <c r="E158" s="4">
        <v>2</v>
      </c>
      <c r="F158" s="17">
        <v>2</v>
      </c>
      <c r="G158" s="7">
        <f>5200/29</f>
        <v>179.31034482758622</v>
      </c>
      <c r="H158" s="7">
        <f>37693/83</f>
        <v>454.13253012048193</v>
      </c>
      <c r="J158" s="43"/>
      <c r="K158" s="43"/>
      <c r="L158" s="43"/>
      <c r="M158" s="43"/>
      <c r="N158" s="43"/>
      <c r="O158" s="43"/>
      <c r="P158" s="10"/>
      <c r="Q158" s="10"/>
    </row>
    <row r="159" spans="1:17" ht="12.75">
      <c r="A159" s="2" t="s">
        <v>12</v>
      </c>
      <c r="B159" s="4">
        <v>25</v>
      </c>
      <c r="C159" s="4">
        <v>14</v>
      </c>
      <c r="D159" s="4">
        <v>17</v>
      </c>
      <c r="E159" s="4">
        <v>23</v>
      </c>
      <c r="F159" s="17">
        <v>25</v>
      </c>
      <c r="G159" s="7">
        <f>5149/29</f>
        <v>177.55172413793105</v>
      </c>
      <c r="H159" s="7">
        <f>106836/83</f>
        <v>1287.1807228915663</v>
      </c>
      <c r="J159" s="43"/>
      <c r="K159" s="43"/>
      <c r="L159" s="43"/>
      <c r="M159" s="43"/>
      <c r="N159" s="43"/>
      <c r="O159" s="43"/>
      <c r="P159" s="10"/>
      <c r="Q159" s="10"/>
    </row>
    <row r="160" spans="1:17" ht="12.75">
      <c r="A160" s="2" t="s">
        <v>13</v>
      </c>
      <c r="B160" s="4">
        <v>5</v>
      </c>
      <c r="C160" s="4">
        <v>5</v>
      </c>
      <c r="D160" s="4">
        <v>5</v>
      </c>
      <c r="E160" s="4">
        <v>5</v>
      </c>
      <c r="F160" s="17">
        <v>5</v>
      </c>
      <c r="G160" s="7">
        <f>5624/29</f>
        <v>193.93103448275863</v>
      </c>
      <c r="H160" s="7">
        <f>58664/83</f>
        <v>706.7951807228916</v>
      </c>
      <c r="J160" s="43"/>
      <c r="K160" s="43"/>
      <c r="L160" s="43"/>
      <c r="M160" s="43"/>
      <c r="N160" s="43"/>
      <c r="O160" s="43"/>
      <c r="P160" s="10"/>
      <c r="Q160" s="10"/>
    </row>
    <row r="161" spans="1:17" ht="12.75">
      <c r="A161" s="2"/>
      <c r="B161" s="3"/>
      <c r="C161" s="3"/>
      <c r="D161" s="3"/>
      <c r="E161" s="4"/>
      <c r="F161" s="17"/>
      <c r="G161" s="3"/>
      <c r="H161" s="3"/>
      <c r="J161" s="43"/>
      <c r="K161" s="43"/>
      <c r="L161" s="43"/>
      <c r="M161" s="43"/>
      <c r="N161" s="43"/>
      <c r="O161" s="43"/>
      <c r="P161" s="4"/>
      <c r="Q161" s="4"/>
    </row>
    <row r="162" spans="1:17" ht="12.75">
      <c r="A162" s="48" t="s">
        <v>14</v>
      </c>
      <c r="B162" s="5">
        <v>9.02</v>
      </c>
      <c r="C162" s="5">
        <v>5.4</v>
      </c>
      <c r="D162" s="5">
        <v>5.69</v>
      </c>
      <c r="E162" s="5">
        <v>7.31</v>
      </c>
      <c r="F162" s="18">
        <v>7.94</v>
      </c>
      <c r="G162" s="5">
        <v>3.61</v>
      </c>
      <c r="H162" s="5">
        <v>4.35</v>
      </c>
      <c r="I162" s="6"/>
      <c r="J162" s="47"/>
      <c r="K162" s="47"/>
      <c r="L162" s="47"/>
      <c r="M162" s="47"/>
      <c r="N162" s="47"/>
      <c r="O162" s="47"/>
      <c r="P162" s="5"/>
      <c r="Q162" s="5"/>
    </row>
    <row r="163" spans="1:17" ht="12.75">
      <c r="A163" s="48" t="s">
        <v>18</v>
      </c>
      <c r="B163" s="5">
        <v>1.82</v>
      </c>
      <c r="C163" s="5">
        <v>1.48</v>
      </c>
      <c r="D163" s="6">
        <v>0.63</v>
      </c>
      <c r="E163" s="5">
        <v>1.2</v>
      </c>
      <c r="F163" s="18">
        <v>0.28</v>
      </c>
      <c r="G163" s="5">
        <v>4.93</v>
      </c>
      <c r="H163" s="5">
        <v>3.79</v>
      </c>
      <c r="I163" s="6"/>
      <c r="J163" s="47"/>
      <c r="K163" s="47"/>
      <c r="L163" s="47"/>
      <c r="M163" s="47"/>
      <c r="N163" s="47"/>
      <c r="O163" s="47"/>
      <c r="P163" s="5"/>
      <c r="Q163" s="5"/>
    </row>
    <row r="164" spans="1:17" ht="12.75">
      <c r="A164" s="48" t="s">
        <v>54</v>
      </c>
      <c r="B164" s="5">
        <v>5.33</v>
      </c>
      <c r="C164" s="5">
        <v>8.18</v>
      </c>
      <c r="D164" s="5">
        <v>7.71</v>
      </c>
      <c r="E164" s="5">
        <v>4.98</v>
      </c>
      <c r="F164" s="18">
        <v>5.76</v>
      </c>
      <c r="G164" s="5">
        <v>18.35</v>
      </c>
      <c r="H164" s="5">
        <v>20.17</v>
      </c>
      <c r="I164" s="6"/>
      <c r="J164" s="47"/>
      <c r="K164" s="47"/>
      <c r="L164" s="47"/>
      <c r="M164" s="47"/>
      <c r="N164" s="47"/>
      <c r="O164" s="47"/>
      <c r="P164" s="5"/>
      <c r="Q164" s="5"/>
    </row>
    <row r="165" spans="1:17" ht="12.75">
      <c r="A165" s="48"/>
      <c r="B165" s="6"/>
      <c r="C165" s="6"/>
      <c r="D165" s="6"/>
      <c r="E165" s="5"/>
      <c r="F165" s="18"/>
      <c r="G165" s="6"/>
      <c r="H165" s="6"/>
      <c r="I165" s="6"/>
      <c r="J165" s="47"/>
      <c r="K165" s="47"/>
      <c r="L165" s="47"/>
      <c r="M165" s="47"/>
      <c r="N165" s="47"/>
      <c r="O165" s="47"/>
      <c r="P165" s="5"/>
      <c r="Q165" s="5"/>
    </row>
    <row r="166" spans="1:17" ht="12.75">
      <c r="A166" s="48" t="s">
        <v>15</v>
      </c>
      <c r="B166" s="5">
        <v>0.85</v>
      </c>
      <c r="C166" s="5">
        <v>1.18</v>
      </c>
      <c r="D166" s="5">
        <v>1.33</v>
      </c>
      <c r="E166" s="5">
        <v>1.2</v>
      </c>
      <c r="F166" s="18">
        <v>1.97</v>
      </c>
      <c r="G166" s="5">
        <v>2.09</v>
      </c>
      <c r="H166" s="5">
        <v>1</v>
      </c>
      <c r="I166" s="6"/>
      <c r="J166" s="47"/>
      <c r="K166" s="47"/>
      <c r="L166" s="47"/>
      <c r="M166" s="47"/>
      <c r="N166" s="47"/>
      <c r="O166" s="47"/>
      <c r="P166" s="5"/>
      <c r="Q166" s="5"/>
    </row>
    <row r="167" spans="1:17" ht="12.75">
      <c r="A167" s="48" t="s">
        <v>16</v>
      </c>
      <c r="B167" s="5">
        <v>46.78</v>
      </c>
      <c r="C167" s="5">
        <v>31.74</v>
      </c>
      <c r="D167" s="5">
        <v>35.08</v>
      </c>
      <c r="E167" s="5">
        <v>31.06</v>
      </c>
      <c r="F167" s="18">
        <v>35.41</v>
      </c>
      <c r="G167" s="5">
        <v>12.58</v>
      </c>
      <c r="H167" s="6">
        <v>12.24</v>
      </c>
      <c r="I167" s="6"/>
      <c r="J167" s="47"/>
      <c r="K167" s="47"/>
      <c r="L167" s="47"/>
      <c r="M167" s="47"/>
      <c r="N167" s="47"/>
      <c r="O167" s="47"/>
      <c r="P167" s="5"/>
      <c r="Q167" s="5"/>
    </row>
    <row r="168" spans="1:17" ht="12.75">
      <c r="A168" s="48" t="s">
        <v>17</v>
      </c>
      <c r="B168" s="6">
        <v>16.3</v>
      </c>
      <c r="C168" s="6">
        <v>14.2</v>
      </c>
      <c r="D168" s="6">
        <v>4.64</v>
      </c>
      <c r="E168" s="5">
        <v>4.08</v>
      </c>
      <c r="F168" s="18">
        <v>1.91</v>
      </c>
      <c r="G168" s="5">
        <v>0.78</v>
      </c>
      <c r="H168" s="5">
        <v>1.22</v>
      </c>
      <c r="I168" s="6"/>
      <c r="J168" s="47"/>
      <c r="K168" s="47"/>
      <c r="L168" s="47"/>
      <c r="M168" s="47"/>
      <c r="N168" s="47"/>
      <c r="O168" s="47"/>
      <c r="P168" s="5"/>
      <c r="Q168" s="5"/>
    </row>
    <row r="169" spans="1:26" ht="12.75">
      <c r="A169" s="3"/>
      <c r="B169" s="3"/>
      <c r="C169" s="3"/>
      <c r="D169" s="3"/>
      <c r="E169" s="3"/>
      <c r="F169" s="3"/>
      <c r="G169" s="3"/>
      <c r="H169" s="3"/>
      <c r="J169" s="4"/>
      <c r="K169" s="4"/>
      <c r="L169" s="4"/>
      <c r="M169" s="4"/>
      <c r="N169" s="4"/>
      <c r="O169" s="4"/>
      <c r="P169" s="4"/>
      <c r="Q169" s="4"/>
      <c r="S169" s="3"/>
      <c r="T169" s="3"/>
      <c r="U169" s="3"/>
      <c r="V169" s="3"/>
      <c r="W169" s="3"/>
      <c r="X169" s="3"/>
      <c r="Y169" s="3"/>
      <c r="Z169" s="3"/>
    </row>
  </sheetData>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3:BU114"/>
  <sheetViews>
    <sheetView workbookViewId="0" topLeftCell="A29">
      <selection activeCell="BI2" sqref="BI2"/>
    </sheetView>
  </sheetViews>
  <sheetFormatPr defaultColWidth="9.140625" defaultRowHeight="12.75"/>
  <cols>
    <col min="1" max="1" width="38.140625" style="0" bestFit="1" customWidth="1"/>
    <col min="2" max="6" width="8.57421875" style="0" customWidth="1"/>
    <col min="7" max="7" width="12.7109375" style="0" customWidth="1"/>
    <col min="8" max="8" width="15.8515625" style="3" customWidth="1"/>
    <col min="9" max="9" width="9.140625" style="3" customWidth="1"/>
    <col min="10" max="10" width="38.140625" style="0" bestFit="1" customWidth="1"/>
    <col min="11" max="15" width="8.57421875" style="0" customWidth="1"/>
    <col min="16" max="16" width="12.7109375" style="0" customWidth="1"/>
    <col min="17" max="17" width="16.28125" style="0" customWidth="1"/>
    <col min="18" max="18" width="9.140625" style="3" customWidth="1"/>
    <col min="19" max="19" width="38.140625" style="0" bestFit="1" customWidth="1"/>
    <col min="20" max="24" width="8.57421875" style="0" customWidth="1"/>
    <col min="25" max="25" width="12.7109375" style="0" customWidth="1"/>
    <col min="26" max="26" width="16.28125" style="0" customWidth="1"/>
    <col min="27" max="27" width="9.140625" style="3" customWidth="1"/>
    <col min="28" max="28" width="38.140625" style="0" bestFit="1" customWidth="1"/>
    <col min="29" max="33" width="8.57421875" style="0" customWidth="1"/>
    <col min="34" max="34" width="12.7109375" style="0" customWidth="1"/>
    <col min="35" max="35" width="16.00390625" style="0" customWidth="1"/>
    <col min="36" max="36" width="9.140625" style="3" customWidth="1"/>
    <col min="37" max="37" width="38.140625" style="0" bestFit="1" customWidth="1"/>
    <col min="38" max="42" width="8.57421875" style="0" customWidth="1"/>
    <col min="43" max="43" width="12.7109375" style="0" customWidth="1"/>
    <col min="44" max="44" width="16.28125" style="0" customWidth="1"/>
    <col min="45" max="45" width="9.140625" style="3" customWidth="1"/>
    <col min="46" max="46" width="38.140625" style="0" bestFit="1" customWidth="1"/>
    <col min="47" max="51" width="8.57421875" style="0" customWidth="1"/>
    <col min="52" max="52" width="12.7109375" style="0" customWidth="1"/>
    <col min="53" max="53" width="16.00390625" style="0" customWidth="1"/>
    <col min="54" max="54" width="9.140625" style="3" customWidth="1"/>
    <col min="55" max="55" width="38.140625" style="0" bestFit="1" customWidth="1"/>
    <col min="56" max="60" width="8.57421875" style="0" customWidth="1"/>
    <col min="61" max="61" width="12.7109375" style="0" customWidth="1"/>
    <col min="62" max="62" width="16.140625" style="0" customWidth="1"/>
    <col min="63" max="63" width="9.140625" style="3" customWidth="1"/>
    <col min="64" max="64" width="13.57421875" style="0" customWidth="1"/>
    <col min="65" max="65" width="8.57421875" style="0" customWidth="1"/>
    <col min="66" max="66" width="8.57421875" style="3" customWidth="1"/>
    <col min="67" max="69" width="8.57421875" style="0" customWidth="1"/>
    <col min="70" max="70" width="12.7109375" style="0" customWidth="1"/>
    <col min="71" max="71" width="15.28125" style="0" customWidth="1"/>
  </cols>
  <sheetData>
    <row r="3" ht="12.75">
      <c r="A3" s="1"/>
    </row>
    <row r="4" spans="1:62" ht="12.75">
      <c r="A4" s="50"/>
      <c r="B4" s="43"/>
      <c r="C4" s="43"/>
      <c r="D4" s="43"/>
      <c r="E4" s="43"/>
      <c r="F4" s="43"/>
      <c r="G4" s="43"/>
      <c r="H4" s="23"/>
      <c r="J4" s="26" t="s">
        <v>44</v>
      </c>
      <c r="K4" s="27"/>
      <c r="L4" s="27"/>
      <c r="M4" s="27"/>
      <c r="N4" s="27"/>
      <c r="O4" s="27"/>
      <c r="P4" s="26" t="s">
        <v>92</v>
      </c>
      <c r="Q4" s="27"/>
      <c r="S4" s="26" t="s">
        <v>44</v>
      </c>
      <c r="T4" s="27"/>
      <c r="U4" s="27"/>
      <c r="V4" s="27"/>
      <c r="W4" s="27"/>
      <c r="X4" s="27"/>
      <c r="Y4" s="26" t="s">
        <v>93</v>
      </c>
      <c r="Z4" s="27"/>
      <c r="AB4" s="26" t="s">
        <v>44</v>
      </c>
      <c r="AC4" s="27"/>
      <c r="AD4" s="27"/>
      <c r="AE4" s="27"/>
      <c r="AF4" s="27"/>
      <c r="AG4" s="27"/>
      <c r="AH4" s="26" t="s">
        <v>94</v>
      </c>
      <c r="AI4" s="27"/>
      <c r="AK4" s="26" t="s">
        <v>44</v>
      </c>
      <c r="AL4" s="27"/>
      <c r="AM4" s="27"/>
      <c r="AN4" s="27"/>
      <c r="AO4" s="27"/>
      <c r="AP4" s="27"/>
      <c r="AQ4" s="26" t="s">
        <v>118</v>
      </c>
      <c r="AR4" s="26"/>
      <c r="AT4" s="26" t="s">
        <v>44</v>
      </c>
      <c r="AU4" s="27"/>
      <c r="AV4" s="27"/>
      <c r="AW4" s="27"/>
      <c r="AX4" s="27"/>
      <c r="AY4" s="27"/>
      <c r="AZ4" s="27"/>
      <c r="BA4" s="26" t="s">
        <v>45</v>
      </c>
      <c r="BC4" s="26" t="s">
        <v>44</v>
      </c>
      <c r="BD4" s="27"/>
      <c r="BE4" s="27"/>
      <c r="BF4" s="27"/>
      <c r="BG4" s="27"/>
      <c r="BH4" s="27"/>
      <c r="BI4" s="26" t="s">
        <v>95</v>
      </c>
      <c r="BJ4" s="27"/>
    </row>
    <row r="5" spans="1:66" ht="12.75">
      <c r="A5" s="43"/>
      <c r="B5" s="43"/>
      <c r="C5" s="43"/>
      <c r="D5" s="43"/>
      <c r="E5" s="43"/>
      <c r="F5" s="43"/>
      <c r="G5" s="43"/>
      <c r="H5" s="53"/>
      <c r="Q5" s="39" t="s">
        <v>19</v>
      </c>
      <c r="Z5" s="39" t="s">
        <v>19</v>
      </c>
      <c r="AI5" s="39" t="s">
        <v>19</v>
      </c>
      <c r="AR5" s="39" t="s">
        <v>19</v>
      </c>
      <c r="BA5" s="39" t="s">
        <v>19</v>
      </c>
      <c r="BJ5" s="39" t="s">
        <v>19</v>
      </c>
      <c r="BL5" s="43"/>
      <c r="BM5" s="43"/>
      <c r="BN5" s="4"/>
    </row>
    <row r="6" spans="1:66" ht="12.75">
      <c r="A6" s="4"/>
      <c r="B6" s="4"/>
      <c r="C6" s="4"/>
      <c r="D6" s="4"/>
      <c r="E6" s="4"/>
      <c r="F6" s="4"/>
      <c r="G6" s="4"/>
      <c r="H6" s="4"/>
      <c r="J6" s="17" t="s">
        <v>4</v>
      </c>
      <c r="K6" s="17" t="s">
        <v>0</v>
      </c>
      <c r="L6" s="17" t="s">
        <v>1</v>
      </c>
      <c r="M6" s="17" t="s">
        <v>2</v>
      </c>
      <c r="N6" s="17" t="s">
        <v>3</v>
      </c>
      <c r="O6" s="17" t="s">
        <v>117</v>
      </c>
      <c r="P6" s="17" t="s">
        <v>53</v>
      </c>
      <c r="Q6" s="17" t="s">
        <v>111</v>
      </c>
      <c r="S6" s="17" t="s">
        <v>4</v>
      </c>
      <c r="T6" s="17" t="s">
        <v>0</v>
      </c>
      <c r="U6" s="17" t="s">
        <v>1</v>
      </c>
      <c r="V6" s="17" t="s">
        <v>2</v>
      </c>
      <c r="W6" s="17" t="s">
        <v>3</v>
      </c>
      <c r="X6" s="17" t="s">
        <v>117</v>
      </c>
      <c r="Y6" s="17" t="s">
        <v>53</v>
      </c>
      <c r="Z6" s="17" t="s">
        <v>111</v>
      </c>
      <c r="AB6" s="17" t="s">
        <v>4</v>
      </c>
      <c r="AC6" s="17" t="s">
        <v>0</v>
      </c>
      <c r="AD6" s="17" t="s">
        <v>1</v>
      </c>
      <c r="AE6" s="17" t="s">
        <v>2</v>
      </c>
      <c r="AF6" s="17" t="s">
        <v>3</v>
      </c>
      <c r="AG6" s="17" t="s">
        <v>117</v>
      </c>
      <c r="AH6" s="17" t="s">
        <v>53</v>
      </c>
      <c r="AI6" s="17" t="s">
        <v>111</v>
      </c>
      <c r="AK6" s="17" t="s">
        <v>4</v>
      </c>
      <c r="AL6" s="17" t="s">
        <v>0</v>
      </c>
      <c r="AM6" s="17" t="s">
        <v>1</v>
      </c>
      <c r="AN6" s="17" t="s">
        <v>2</v>
      </c>
      <c r="AO6" s="17" t="s">
        <v>3</v>
      </c>
      <c r="AP6" s="17" t="s">
        <v>117</v>
      </c>
      <c r="AQ6" s="17" t="s">
        <v>53</v>
      </c>
      <c r="AR6" s="17" t="s">
        <v>111</v>
      </c>
      <c r="AT6" s="17" t="s">
        <v>4</v>
      </c>
      <c r="AU6" s="17" t="s">
        <v>0</v>
      </c>
      <c r="AV6" s="17" t="s">
        <v>1</v>
      </c>
      <c r="AW6" s="17" t="s">
        <v>2</v>
      </c>
      <c r="AX6" s="17" t="s">
        <v>3</v>
      </c>
      <c r="AY6" s="17" t="s">
        <v>117</v>
      </c>
      <c r="AZ6" s="17" t="s">
        <v>53</v>
      </c>
      <c r="BA6" s="17" t="s">
        <v>111</v>
      </c>
      <c r="BC6" s="17" t="s">
        <v>4</v>
      </c>
      <c r="BD6" s="17" t="s">
        <v>0</v>
      </c>
      <c r="BE6" s="17" t="s">
        <v>1</v>
      </c>
      <c r="BF6" s="17" t="s">
        <v>2</v>
      </c>
      <c r="BG6" s="17" t="s">
        <v>3</v>
      </c>
      <c r="BH6" s="17" t="s">
        <v>117</v>
      </c>
      <c r="BI6" s="17" t="s">
        <v>53</v>
      </c>
      <c r="BJ6" s="17" t="s">
        <v>111</v>
      </c>
      <c r="BL6" s="4"/>
      <c r="BM6" s="4"/>
      <c r="BN6" s="4"/>
    </row>
    <row r="7" spans="1:66" ht="12.75">
      <c r="A7" s="4"/>
      <c r="B7" s="4"/>
      <c r="C7" s="4"/>
      <c r="D7" s="4"/>
      <c r="E7" s="4"/>
      <c r="F7" s="4"/>
      <c r="G7" s="25"/>
      <c r="H7" s="25"/>
      <c r="J7" s="17"/>
      <c r="K7" s="17"/>
      <c r="L7" s="17"/>
      <c r="M7" s="17"/>
      <c r="N7" s="17"/>
      <c r="O7" s="17"/>
      <c r="P7" s="28" t="s">
        <v>117</v>
      </c>
      <c r="Q7" s="28" t="s">
        <v>117</v>
      </c>
      <c r="S7" s="17"/>
      <c r="T7" s="17"/>
      <c r="U7" s="17"/>
      <c r="V7" s="17"/>
      <c r="W7" s="17"/>
      <c r="X7" s="17"/>
      <c r="Y7" s="28" t="s">
        <v>117</v>
      </c>
      <c r="Z7" s="28" t="s">
        <v>117</v>
      </c>
      <c r="AB7" s="17"/>
      <c r="AC7" s="17"/>
      <c r="AD7" s="17"/>
      <c r="AE7" s="17"/>
      <c r="AF7" s="17"/>
      <c r="AG7" s="17"/>
      <c r="AH7" s="28" t="s">
        <v>117</v>
      </c>
      <c r="AI7" s="28" t="s">
        <v>117</v>
      </c>
      <c r="AK7" s="17"/>
      <c r="AL7" s="17"/>
      <c r="AM7" s="17"/>
      <c r="AN7" s="17"/>
      <c r="AO7" s="17"/>
      <c r="AP7" s="17"/>
      <c r="AQ7" s="28" t="s">
        <v>117</v>
      </c>
      <c r="AR7" s="28" t="s">
        <v>117</v>
      </c>
      <c r="AT7" s="17"/>
      <c r="AU7" s="17"/>
      <c r="AV7" s="17"/>
      <c r="AW7" s="17"/>
      <c r="AX7" s="17"/>
      <c r="AY7" s="17"/>
      <c r="AZ7" s="28" t="s">
        <v>117</v>
      </c>
      <c r="BA7" s="28" t="s">
        <v>117</v>
      </c>
      <c r="BC7" s="17"/>
      <c r="BD7" s="17"/>
      <c r="BE7" s="17"/>
      <c r="BF7" s="17"/>
      <c r="BG7" s="17"/>
      <c r="BH7" s="17"/>
      <c r="BI7" s="28" t="s">
        <v>117</v>
      </c>
      <c r="BJ7" s="28" t="s">
        <v>117</v>
      </c>
      <c r="BL7" s="4"/>
      <c r="BM7" s="4"/>
      <c r="BN7" s="4"/>
    </row>
    <row r="8" spans="1:66" ht="12.75">
      <c r="A8" s="54"/>
      <c r="B8" s="4"/>
      <c r="C8" s="4"/>
      <c r="D8" s="4"/>
      <c r="E8" s="4"/>
      <c r="F8" s="4"/>
      <c r="G8" s="10"/>
      <c r="H8" s="10"/>
      <c r="J8" s="3" t="s">
        <v>5</v>
      </c>
      <c r="K8" s="3">
        <v>324</v>
      </c>
      <c r="L8" s="3">
        <v>346</v>
      </c>
      <c r="M8" s="3">
        <v>366</v>
      </c>
      <c r="N8" s="4">
        <v>388</v>
      </c>
      <c r="O8" s="17">
        <v>402</v>
      </c>
      <c r="P8" s="7">
        <f>6746/26</f>
        <v>259.46153846153845</v>
      </c>
      <c r="Q8" s="7">
        <f>(14039+35356+261+6746)/83</f>
        <v>679.5421686746988</v>
      </c>
      <c r="S8" s="3" t="s">
        <v>5</v>
      </c>
      <c r="T8" s="3">
        <v>78</v>
      </c>
      <c r="U8" s="3">
        <v>79</v>
      </c>
      <c r="V8" s="3">
        <v>84</v>
      </c>
      <c r="W8" s="4">
        <v>91</v>
      </c>
      <c r="X8" s="17">
        <v>103</v>
      </c>
      <c r="Y8" s="7">
        <f>6746/26</f>
        <v>259.46153846153845</v>
      </c>
      <c r="Z8" s="7">
        <f>(14039+35356+261+6746)/83</f>
        <v>679.5421686746988</v>
      </c>
      <c r="AB8" s="3" t="s">
        <v>5</v>
      </c>
      <c r="AC8" s="3">
        <v>296</v>
      </c>
      <c r="AD8" s="3">
        <v>299</v>
      </c>
      <c r="AE8" s="3">
        <v>311</v>
      </c>
      <c r="AF8" s="4">
        <v>314</v>
      </c>
      <c r="AG8" s="17">
        <v>325</v>
      </c>
      <c r="AH8" s="7">
        <f>6746/26</f>
        <v>259.46153846153845</v>
      </c>
      <c r="AI8" s="7">
        <f>(14039+35356+261+6746)/83</f>
        <v>679.5421686746988</v>
      </c>
      <c r="AK8" s="3" t="s">
        <v>5</v>
      </c>
      <c r="AL8" s="3">
        <v>59</v>
      </c>
      <c r="AM8" s="3">
        <v>62</v>
      </c>
      <c r="AN8" s="3">
        <v>63</v>
      </c>
      <c r="AO8" s="4">
        <v>77</v>
      </c>
      <c r="AP8" s="17">
        <v>242</v>
      </c>
      <c r="AQ8" s="7">
        <f>6746/26</f>
        <v>259.46153846153845</v>
      </c>
      <c r="AR8" s="7">
        <f>(14039+35356+261+6746)/83</f>
        <v>679.5421686746988</v>
      </c>
      <c r="AT8" s="3" t="s">
        <v>5</v>
      </c>
      <c r="AU8" s="3">
        <v>120</v>
      </c>
      <c r="AV8" s="3">
        <v>126</v>
      </c>
      <c r="AW8" s="3">
        <v>131</v>
      </c>
      <c r="AX8" s="4">
        <v>137</v>
      </c>
      <c r="AY8" s="17">
        <v>142</v>
      </c>
      <c r="AZ8" s="7">
        <f>6746/26</f>
        <v>259.46153846153845</v>
      </c>
      <c r="BA8" s="7">
        <f>(14039+35356+261+6746)/83</f>
        <v>679.5421686746988</v>
      </c>
      <c r="BC8" s="3" t="s">
        <v>5</v>
      </c>
      <c r="BD8" s="3">
        <v>60</v>
      </c>
      <c r="BE8" s="3">
        <v>64</v>
      </c>
      <c r="BF8" s="3">
        <v>76</v>
      </c>
      <c r="BG8" s="4">
        <v>89</v>
      </c>
      <c r="BH8" s="17">
        <v>91</v>
      </c>
      <c r="BI8" s="7">
        <f>6746/26</f>
        <v>259.46153846153845</v>
      </c>
      <c r="BJ8" s="7">
        <f>(14039+35356+261+6746)/83</f>
        <v>679.5421686746988</v>
      </c>
      <c r="BL8" s="10"/>
      <c r="BM8" s="10"/>
      <c r="BN8" s="10"/>
    </row>
    <row r="9" spans="1:66" ht="12.75">
      <c r="A9" s="54"/>
      <c r="B9" s="4"/>
      <c r="C9" s="4"/>
      <c r="D9" s="4"/>
      <c r="E9" s="4"/>
      <c r="F9" s="4"/>
      <c r="G9" s="10"/>
      <c r="H9" s="10"/>
      <c r="J9" s="3" t="s">
        <v>6</v>
      </c>
      <c r="K9" s="3">
        <v>4285</v>
      </c>
      <c r="L9" s="3">
        <v>4207</v>
      </c>
      <c r="M9" s="3">
        <v>4144</v>
      </c>
      <c r="N9" s="4">
        <v>4068</v>
      </c>
      <c r="O9" s="17">
        <v>3990</v>
      </c>
      <c r="P9" s="7">
        <v>4189</v>
      </c>
      <c r="Q9" s="7">
        <v>10458</v>
      </c>
      <c r="S9" s="3" t="s">
        <v>6</v>
      </c>
      <c r="T9" s="3">
        <v>994</v>
      </c>
      <c r="U9" s="3">
        <v>1029</v>
      </c>
      <c r="V9" s="3">
        <v>984</v>
      </c>
      <c r="W9" s="4">
        <v>1075</v>
      </c>
      <c r="X9" s="17">
        <v>1098</v>
      </c>
      <c r="Y9" s="7">
        <v>4189</v>
      </c>
      <c r="Z9" s="7">
        <v>10458</v>
      </c>
      <c r="AB9" s="3" t="s">
        <v>6</v>
      </c>
      <c r="AC9" s="3">
        <v>3014</v>
      </c>
      <c r="AD9" s="13" t="s">
        <v>114</v>
      </c>
      <c r="AE9" s="3">
        <v>2890</v>
      </c>
      <c r="AF9" s="4">
        <v>2863</v>
      </c>
      <c r="AG9" s="17">
        <v>2863</v>
      </c>
      <c r="AH9" s="7">
        <v>4189</v>
      </c>
      <c r="AI9" s="7">
        <v>10458</v>
      </c>
      <c r="AK9" s="3" t="s">
        <v>6</v>
      </c>
      <c r="AL9" s="3">
        <v>965</v>
      </c>
      <c r="AM9" s="3">
        <v>945</v>
      </c>
      <c r="AN9" s="3">
        <v>1112</v>
      </c>
      <c r="AO9" s="4">
        <v>1374</v>
      </c>
      <c r="AP9" s="17">
        <v>4471</v>
      </c>
      <c r="AQ9" s="7">
        <v>4189</v>
      </c>
      <c r="AR9" s="7">
        <v>10458</v>
      </c>
      <c r="AT9" s="3" t="s">
        <v>6</v>
      </c>
      <c r="AU9" s="3">
        <v>1361</v>
      </c>
      <c r="AV9" s="3">
        <v>1408</v>
      </c>
      <c r="AW9" s="3">
        <v>1396</v>
      </c>
      <c r="AX9" s="4">
        <v>1433</v>
      </c>
      <c r="AY9" s="17">
        <v>1605</v>
      </c>
      <c r="AZ9" s="7">
        <v>4189</v>
      </c>
      <c r="BA9" s="7">
        <v>10458</v>
      </c>
      <c r="BC9" s="3" t="s">
        <v>6</v>
      </c>
      <c r="BD9" s="3">
        <v>1342</v>
      </c>
      <c r="BE9" s="3">
        <v>1327</v>
      </c>
      <c r="BF9" s="3">
        <v>1439</v>
      </c>
      <c r="BG9" s="4">
        <v>1503</v>
      </c>
      <c r="BH9" s="17">
        <v>1279</v>
      </c>
      <c r="BI9" s="7">
        <v>4189</v>
      </c>
      <c r="BJ9" s="7">
        <v>10458</v>
      </c>
      <c r="BL9" s="10"/>
      <c r="BM9" s="10"/>
      <c r="BN9" s="10"/>
    </row>
    <row r="10" spans="1:66" ht="12.75">
      <c r="A10" s="55"/>
      <c r="B10" s="5"/>
      <c r="C10" s="5"/>
      <c r="D10" s="5"/>
      <c r="E10" s="5"/>
      <c r="F10" s="5"/>
      <c r="G10" s="5"/>
      <c r="H10" s="5"/>
      <c r="I10" s="6"/>
      <c r="J10" s="6" t="s">
        <v>20</v>
      </c>
      <c r="K10" s="6">
        <v>135.84</v>
      </c>
      <c r="L10" s="6">
        <v>164.64</v>
      </c>
      <c r="M10" s="6">
        <v>199.93</v>
      </c>
      <c r="N10" s="5">
        <v>231.18</v>
      </c>
      <c r="O10" s="18">
        <v>291.4</v>
      </c>
      <c r="P10" s="5">
        <v>677.86</v>
      </c>
      <c r="Q10" s="6">
        <v>423.74</v>
      </c>
      <c r="R10" s="6"/>
      <c r="S10" s="6" t="s">
        <v>20</v>
      </c>
      <c r="T10" s="6">
        <v>259</v>
      </c>
      <c r="U10" s="6">
        <v>317</v>
      </c>
      <c r="V10" s="6">
        <v>370</v>
      </c>
      <c r="W10" s="5">
        <v>422</v>
      </c>
      <c r="X10" s="18">
        <v>484</v>
      </c>
      <c r="Y10" s="5">
        <v>677.86</v>
      </c>
      <c r="Z10" s="6">
        <v>423.74</v>
      </c>
      <c r="AA10" s="6"/>
      <c r="AB10" s="6" t="s">
        <v>20</v>
      </c>
      <c r="AC10" s="6">
        <v>140.98</v>
      </c>
      <c r="AD10" s="6">
        <v>164.94</v>
      </c>
      <c r="AE10" s="6">
        <v>182.16</v>
      </c>
      <c r="AF10" s="5">
        <v>220</v>
      </c>
      <c r="AG10" s="18">
        <v>247</v>
      </c>
      <c r="AH10" s="5">
        <v>677.86</v>
      </c>
      <c r="AI10" s="6">
        <v>423.74</v>
      </c>
      <c r="AJ10" s="6"/>
      <c r="AK10" s="6" t="s">
        <v>20</v>
      </c>
      <c r="AL10" s="6">
        <v>467.72</v>
      </c>
      <c r="AM10" s="6">
        <v>403.28</v>
      </c>
      <c r="AN10" s="6">
        <v>392.84</v>
      </c>
      <c r="AO10" s="5">
        <v>383</v>
      </c>
      <c r="AP10" s="18">
        <v>339</v>
      </c>
      <c r="AQ10" s="5">
        <v>677.86</v>
      </c>
      <c r="AR10" s="6">
        <v>423.74</v>
      </c>
      <c r="AS10" s="6"/>
      <c r="AT10" s="6" t="s">
        <v>20</v>
      </c>
      <c r="AU10" s="6">
        <v>203.5</v>
      </c>
      <c r="AV10" s="6">
        <v>230.05</v>
      </c>
      <c r="AW10" s="6">
        <v>286.8</v>
      </c>
      <c r="AX10" s="5">
        <v>325.8</v>
      </c>
      <c r="AY10" s="18">
        <v>339.69</v>
      </c>
      <c r="AZ10" s="5">
        <v>677.86</v>
      </c>
      <c r="BA10" s="6">
        <v>423.74</v>
      </c>
      <c r="BB10" s="6"/>
      <c r="BC10" s="6" t="s">
        <v>20</v>
      </c>
      <c r="BD10" s="6">
        <v>443</v>
      </c>
      <c r="BE10" s="6">
        <v>463</v>
      </c>
      <c r="BF10" s="6">
        <v>480.45</v>
      </c>
      <c r="BG10" s="5">
        <v>402</v>
      </c>
      <c r="BH10" s="18">
        <v>390</v>
      </c>
      <c r="BI10" s="5">
        <v>677.86</v>
      </c>
      <c r="BJ10" s="6">
        <v>423.74</v>
      </c>
      <c r="BL10" s="4"/>
      <c r="BM10" s="4"/>
      <c r="BN10" s="4"/>
    </row>
    <row r="11" spans="1:66" ht="12.75">
      <c r="A11" s="55"/>
      <c r="B11" s="5"/>
      <c r="C11" s="5"/>
      <c r="D11" s="5"/>
      <c r="E11" s="5"/>
      <c r="F11" s="5"/>
      <c r="G11" s="5"/>
      <c r="H11" s="5"/>
      <c r="I11" s="6"/>
      <c r="J11" s="6" t="s">
        <v>56</v>
      </c>
      <c r="K11" s="6">
        <v>0.94</v>
      </c>
      <c r="L11" s="6">
        <v>1.63</v>
      </c>
      <c r="M11" s="5">
        <v>1.67</v>
      </c>
      <c r="N11" s="5">
        <v>0.86</v>
      </c>
      <c r="O11" s="18">
        <v>0.38</v>
      </c>
      <c r="P11" s="5">
        <v>4.6</v>
      </c>
      <c r="Q11" s="6">
        <v>2.84</v>
      </c>
      <c r="R11" s="6"/>
      <c r="S11" s="6" t="s">
        <v>56</v>
      </c>
      <c r="T11" s="6">
        <v>2.17</v>
      </c>
      <c r="U11" s="6">
        <v>2.77</v>
      </c>
      <c r="V11" s="5">
        <v>3.41</v>
      </c>
      <c r="W11" s="5">
        <v>1.86</v>
      </c>
      <c r="X11" s="18">
        <v>0.51</v>
      </c>
      <c r="Y11" s="5">
        <v>4.6</v>
      </c>
      <c r="Z11" s="6">
        <v>2.84</v>
      </c>
      <c r="AA11" s="6"/>
      <c r="AB11" s="6" t="s">
        <v>56</v>
      </c>
      <c r="AC11" s="6">
        <v>1.23</v>
      </c>
      <c r="AD11" s="6">
        <v>1.57</v>
      </c>
      <c r="AE11" s="5">
        <v>1.96</v>
      </c>
      <c r="AF11" s="5">
        <v>0.37</v>
      </c>
      <c r="AG11" s="18">
        <v>0.22</v>
      </c>
      <c r="AH11" s="5">
        <v>4.6</v>
      </c>
      <c r="AI11" s="6">
        <v>2.84</v>
      </c>
      <c r="AJ11" s="6"/>
      <c r="AK11" s="6" t="s">
        <v>56</v>
      </c>
      <c r="AL11" s="6">
        <v>1.49</v>
      </c>
      <c r="AM11" s="6">
        <v>2.29</v>
      </c>
      <c r="AN11" s="5">
        <v>1.09</v>
      </c>
      <c r="AO11" s="5">
        <v>1.83</v>
      </c>
      <c r="AP11" s="18">
        <v>1.96</v>
      </c>
      <c r="AQ11" s="5">
        <v>4.6</v>
      </c>
      <c r="AR11" s="6">
        <v>2.84</v>
      </c>
      <c r="AS11" s="6"/>
      <c r="AT11" s="6" t="s">
        <v>56</v>
      </c>
      <c r="AU11" s="6">
        <v>2.1</v>
      </c>
      <c r="AV11" s="6">
        <v>2.37</v>
      </c>
      <c r="AW11" s="5">
        <v>4.09</v>
      </c>
      <c r="AX11" s="5">
        <v>3.23</v>
      </c>
      <c r="AY11" s="18">
        <v>3.51</v>
      </c>
      <c r="AZ11" s="5">
        <v>4.6</v>
      </c>
      <c r="BA11" s="6">
        <v>2.84</v>
      </c>
      <c r="BB11" s="6"/>
      <c r="BC11" s="6" t="s">
        <v>56</v>
      </c>
      <c r="BD11" s="6">
        <v>2.53</v>
      </c>
      <c r="BE11" s="6">
        <v>2.6</v>
      </c>
      <c r="BF11" s="5">
        <v>1.21</v>
      </c>
      <c r="BG11" s="5">
        <v>-11</v>
      </c>
      <c r="BH11" s="18">
        <v>-7</v>
      </c>
      <c r="BI11" s="5">
        <v>4.6</v>
      </c>
      <c r="BJ11" s="6">
        <v>2.84</v>
      </c>
      <c r="BL11" s="5"/>
      <c r="BM11" s="4"/>
      <c r="BN11" s="4"/>
    </row>
    <row r="12" spans="1:66" ht="12.75">
      <c r="A12" s="54"/>
      <c r="B12" s="4"/>
      <c r="C12" s="4"/>
      <c r="D12" s="4"/>
      <c r="E12" s="4"/>
      <c r="F12" s="4"/>
      <c r="G12" s="4"/>
      <c r="H12" s="4"/>
      <c r="J12" s="3"/>
      <c r="K12" s="3"/>
      <c r="L12" s="3"/>
      <c r="M12" s="3"/>
      <c r="N12" s="4"/>
      <c r="O12" s="17"/>
      <c r="P12" s="3"/>
      <c r="Q12" s="3"/>
      <c r="S12" s="3"/>
      <c r="T12" s="3"/>
      <c r="U12" s="3"/>
      <c r="V12" s="3"/>
      <c r="W12" s="4"/>
      <c r="X12" s="17"/>
      <c r="Y12" s="3"/>
      <c r="Z12" s="3"/>
      <c r="AB12" s="3"/>
      <c r="AC12" s="3"/>
      <c r="AD12" s="3"/>
      <c r="AE12" s="3"/>
      <c r="AF12" s="4"/>
      <c r="AG12" s="17"/>
      <c r="AH12" s="3"/>
      <c r="AI12" s="3"/>
      <c r="AK12" s="3"/>
      <c r="AL12" s="3"/>
      <c r="AM12" s="3"/>
      <c r="AN12" s="3"/>
      <c r="AO12" s="4"/>
      <c r="AP12" s="17"/>
      <c r="AQ12" s="3"/>
      <c r="AR12" s="3"/>
      <c r="AT12" s="3"/>
      <c r="AU12" s="3"/>
      <c r="AV12" s="3"/>
      <c r="AW12" s="3"/>
      <c r="AX12" s="4"/>
      <c r="AY12" s="17"/>
      <c r="AZ12" s="3"/>
      <c r="BA12" s="3"/>
      <c r="BC12" s="3"/>
      <c r="BD12" s="3"/>
      <c r="BE12" s="3"/>
      <c r="BF12" s="3"/>
      <c r="BG12" s="4"/>
      <c r="BH12" s="17"/>
      <c r="BI12" s="3"/>
      <c r="BJ12" s="3"/>
      <c r="BL12" s="4"/>
      <c r="BM12" s="4"/>
      <c r="BN12" s="4"/>
    </row>
    <row r="13" spans="1:66" ht="12.75">
      <c r="A13" s="54"/>
      <c r="B13" s="4"/>
      <c r="C13" s="4"/>
      <c r="D13" s="4"/>
      <c r="E13" s="4"/>
      <c r="F13" s="4"/>
      <c r="G13" s="10"/>
      <c r="H13" s="10"/>
      <c r="J13" s="3" t="s">
        <v>119</v>
      </c>
      <c r="K13" s="3">
        <f>100+133</f>
        <v>233</v>
      </c>
      <c r="L13" s="3">
        <f>106+179</f>
        <v>285</v>
      </c>
      <c r="M13" s="3">
        <f>108+222</f>
        <v>330</v>
      </c>
      <c r="N13" s="4">
        <f>108+243</f>
        <v>351</v>
      </c>
      <c r="O13" s="17">
        <v>363</v>
      </c>
      <c r="P13" s="7">
        <f>(3910+39819)/26</f>
        <v>1681.8846153846155</v>
      </c>
      <c r="Q13" s="7">
        <f>(25180+157847)/83</f>
        <v>2205.144578313253</v>
      </c>
      <c r="S13" s="3" t="s">
        <v>119</v>
      </c>
      <c r="T13" s="3">
        <f>16+107</f>
        <v>123</v>
      </c>
      <c r="U13" s="3">
        <f>16+125</f>
        <v>141</v>
      </c>
      <c r="V13" s="3">
        <f>16+156</f>
        <v>172</v>
      </c>
      <c r="W13" s="4">
        <f>16+183</f>
        <v>199</v>
      </c>
      <c r="X13" s="17">
        <v>205</v>
      </c>
      <c r="Y13" s="7">
        <f>(3910+39819)/26</f>
        <v>1681.8846153846155</v>
      </c>
      <c r="Z13" s="7">
        <f>(25180+157847)/83</f>
        <v>2205.144578313253</v>
      </c>
      <c r="AB13" s="3" t="s">
        <v>119</v>
      </c>
      <c r="AC13" s="3">
        <f>11+94</f>
        <v>105</v>
      </c>
      <c r="AD13" s="3">
        <f>11+129</f>
        <v>140</v>
      </c>
      <c r="AE13" s="3">
        <f>11+183</f>
        <v>194</v>
      </c>
      <c r="AF13" s="4">
        <f>11+199</f>
        <v>210</v>
      </c>
      <c r="AG13" s="17">
        <v>216</v>
      </c>
      <c r="AH13" s="7">
        <f>(3910+39819)/26</f>
        <v>1681.8846153846155</v>
      </c>
      <c r="AI13" s="7">
        <f>(25180+157847)/83</f>
        <v>2205.144578313253</v>
      </c>
      <c r="AK13" s="3" t="s">
        <v>119</v>
      </c>
      <c r="AL13" s="3">
        <f>152+23</f>
        <v>175</v>
      </c>
      <c r="AM13" s="3">
        <f>152+23</f>
        <v>175</v>
      </c>
      <c r="AN13" s="3">
        <f>57+136</f>
        <v>193</v>
      </c>
      <c r="AO13" s="4">
        <f>101+489</f>
        <v>590</v>
      </c>
      <c r="AP13" s="17">
        <v>931</v>
      </c>
      <c r="AQ13" s="7">
        <f>(3910+39819)/26</f>
        <v>1681.8846153846155</v>
      </c>
      <c r="AR13" s="7">
        <f>(25180+157847)/83</f>
        <v>2205.144578313253</v>
      </c>
      <c r="AT13" s="3" t="s">
        <v>119</v>
      </c>
      <c r="AU13" s="3">
        <f>24+118</f>
        <v>142</v>
      </c>
      <c r="AV13" s="3">
        <f>24+141</f>
        <v>165</v>
      </c>
      <c r="AW13" s="3">
        <f>24+179</f>
        <v>203</v>
      </c>
      <c r="AX13" s="4">
        <f>24+217</f>
        <v>241</v>
      </c>
      <c r="AY13" s="17">
        <v>286</v>
      </c>
      <c r="AZ13" s="7">
        <f>(3910+39819)/26</f>
        <v>1681.8846153846155</v>
      </c>
      <c r="BA13" s="7">
        <f>(25180+157847)/83</f>
        <v>2205.144578313253</v>
      </c>
      <c r="BC13" s="3" t="s">
        <v>119</v>
      </c>
      <c r="BD13" s="3">
        <f>23+301</f>
        <v>324</v>
      </c>
      <c r="BE13" s="3">
        <f>28+218</f>
        <v>246</v>
      </c>
      <c r="BF13" s="3">
        <v>311</v>
      </c>
      <c r="BG13" s="4">
        <f>66+134</f>
        <v>200</v>
      </c>
      <c r="BH13" s="17">
        <v>164</v>
      </c>
      <c r="BI13" s="7">
        <f>(3910+39819)/26</f>
        <v>1681.8846153846155</v>
      </c>
      <c r="BJ13" s="7">
        <f>(25180+157847)/83</f>
        <v>2205.144578313253</v>
      </c>
      <c r="BL13" s="10"/>
      <c r="BM13" s="10"/>
      <c r="BN13" s="10"/>
    </row>
    <row r="14" spans="1:66" ht="12.75">
      <c r="A14" s="54"/>
      <c r="B14" s="4"/>
      <c r="C14" s="4"/>
      <c r="D14" s="4"/>
      <c r="E14" s="4"/>
      <c r="F14" s="4"/>
      <c r="G14" s="10"/>
      <c r="H14" s="10"/>
      <c r="J14" s="3" t="s">
        <v>7</v>
      </c>
      <c r="K14" s="3">
        <v>3960</v>
      </c>
      <c r="L14" s="3">
        <v>5299</v>
      </c>
      <c r="M14" s="4">
        <v>7639</v>
      </c>
      <c r="N14" s="4">
        <v>8120</v>
      </c>
      <c r="O14" s="17">
        <v>8891</v>
      </c>
      <c r="P14" s="7">
        <f>426247/26</f>
        <v>16394.115384615383</v>
      </c>
      <c r="Q14" s="7">
        <f>2162472/83</f>
        <v>26053.87951807229</v>
      </c>
      <c r="S14" s="3" t="s">
        <v>7</v>
      </c>
      <c r="T14" s="3">
        <v>1823</v>
      </c>
      <c r="U14" s="3">
        <v>2149</v>
      </c>
      <c r="V14" s="4">
        <v>2472</v>
      </c>
      <c r="W14" s="4">
        <v>2749</v>
      </c>
      <c r="X14" s="17">
        <v>3244</v>
      </c>
      <c r="Y14" s="7">
        <f>426247/26</f>
        <v>16394.115384615383</v>
      </c>
      <c r="Z14" s="7">
        <f>2162472/83</f>
        <v>26053.87951807229</v>
      </c>
      <c r="AB14" s="3" t="s">
        <v>7</v>
      </c>
      <c r="AC14" s="3">
        <v>3191</v>
      </c>
      <c r="AD14" s="3">
        <v>3506</v>
      </c>
      <c r="AE14" s="4">
        <v>3880</v>
      </c>
      <c r="AF14" s="4">
        <v>4021</v>
      </c>
      <c r="AG14" s="17">
        <v>4289</v>
      </c>
      <c r="AH14" s="7">
        <f>426247/26</f>
        <v>16394.115384615383</v>
      </c>
      <c r="AI14" s="7">
        <f>2162472/83</f>
        <v>26053.87951807229</v>
      </c>
      <c r="AK14" s="3" t="s">
        <v>7</v>
      </c>
      <c r="AL14" s="3">
        <v>3535</v>
      </c>
      <c r="AM14" s="3">
        <v>2835</v>
      </c>
      <c r="AN14" s="4">
        <v>3029</v>
      </c>
      <c r="AO14" s="4">
        <v>3530</v>
      </c>
      <c r="AP14" s="17">
        <v>9400</v>
      </c>
      <c r="AQ14" s="7">
        <f>426247/26</f>
        <v>16394.115384615383</v>
      </c>
      <c r="AR14" s="7">
        <f>2162472/83</f>
        <v>26053.87951807229</v>
      </c>
      <c r="AT14" s="3" t="s">
        <v>7</v>
      </c>
      <c r="AU14" s="3">
        <v>1974</v>
      </c>
      <c r="AV14" s="3">
        <v>2317</v>
      </c>
      <c r="AW14" s="4">
        <v>2847</v>
      </c>
      <c r="AX14" s="4">
        <v>3095</v>
      </c>
      <c r="AY14" s="17">
        <v>3518</v>
      </c>
      <c r="AZ14" s="7">
        <f>426247/26</f>
        <v>16394.115384615383</v>
      </c>
      <c r="BA14" s="7">
        <f>2162472/83</f>
        <v>26053.87951807229</v>
      </c>
      <c r="BC14" s="3" t="s">
        <v>7</v>
      </c>
      <c r="BD14" s="3">
        <v>3692</v>
      </c>
      <c r="BE14" s="3">
        <v>3657</v>
      </c>
      <c r="BF14" s="4">
        <v>4474</v>
      </c>
      <c r="BG14" s="4">
        <v>3895</v>
      </c>
      <c r="BH14" s="17">
        <v>3124</v>
      </c>
      <c r="BI14" s="7">
        <f>426247/26</f>
        <v>16394.115384615383</v>
      </c>
      <c r="BJ14" s="7">
        <f>2162472/83</f>
        <v>26053.87951807229</v>
      </c>
      <c r="BL14" s="10"/>
      <c r="BM14" s="10"/>
      <c r="BN14" s="10"/>
    </row>
    <row r="15" spans="1:66" ht="12.75">
      <c r="A15" s="54"/>
      <c r="B15" s="4"/>
      <c r="C15" s="4"/>
      <c r="D15" s="4"/>
      <c r="E15" s="4"/>
      <c r="F15" s="4"/>
      <c r="G15" s="10"/>
      <c r="H15" s="10"/>
      <c r="J15" s="3" t="s">
        <v>8</v>
      </c>
      <c r="K15" s="3">
        <v>1884</v>
      </c>
      <c r="L15" s="4">
        <v>2643</v>
      </c>
      <c r="M15" s="4">
        <v>4457</v>
      </c>
      <c r="N15" s="4">
        <v>3515</v>
      </c>
      <c r="O15" s="17">
        <v>2567</v>
      </c>
      <c r="P15" s="7">
        <f>179662/26</f>
        <v>6910.076923076923</v>
      </c>
      <c r="Q15" s="7">
        <f>866961/83</f>
        <v>10445.313253012047</v>
      </c>
      <c r="S15" s="3" t="s">
        <v>8</v>
      </c>
      <c r="T15" s="3">
        <v>668</v>
      </c>
      <c r="U15" s="4">
        <v>812</v>
      </c>
      <c r="V15" s="4">
        <v>936</v>
      </c>
      <c r="W15" s="4">
        <v>986</v>
      </c>
      <c r="X15" s="17">
        <v>961</v>
      </c>
      <c r="Y15" s="7">
        <f>179662/26</f>
        <v>6910.076923076923</v>
      </c>
      <c r="Z15" s="7">
        <f>866961/83</f>
        <v>10445.313253012047</v>
      </c>
      <c r="AB15" s="3" t="s">
        <v>8</v>
      </c>
      <c r="AC15" s="3">
        <v>1357</v>
      </c>
      <c r="AD15" s="4">
        <v>1809</v>
      </c>
      <c r="AE15" s="4">
        <v>1819</v>
      </c>
      <c r="AF15" s="4">
        <v>1323</v>
      </c>
      <c r="AG15" s="17">
        <v>1432</v>
      </c>
      <c r="AH15" s="7">
        <f>179662/26</f>
        <v>6910.076923076923</v>
      </c>
      <c r="AI15" s="7">
        <f>866961/83</f>
        <v>10445.313253012047</v>
      </c>
      <c r="AK15" s="3" t="s">
        <v>8</v>
      </c>
      <c r="AL15" s="3">
        <v>1227</v>
      </c>
      <c r="AM15" s="4">
        <v>999</v>
      </c>
      <c r="AN15" s="4">
        <v>1182</v>
      </c>
      <c r="AO15" s="4">
        <v>1480</v>
      </c>
      <c r="AP15" s="17">
        <v>2923</v>
      </c>
      <c r="AQ15" s="7">
        <f>179662/26</f>
        <v>6910.076923076923</v>
      </c>
      <c r="AR15" s="7">
        <f>866961/83</f>
        <v>10445.313253012047</v>
      </c>
      <c r="AT15" s="3" t="s">
        <v>8</v>
      </c>
      <c r="AU15" s="3">
        <v>911</v>
      </c>
      <c r="AV15" s="4">
        <v>1099</v>
      </c>
      <c r="AW15" s="4">
        <v>1279</v>
      </c>
      <c r="AX15" s="4">
        <v>1102</v>
      </c>
      <c r="AY15" s="17">
        <v>1057</v>
      </c>
      <c r="AZ15" s="7">
        <f>179662/26</f>
        <v>6910.076923076923</v>
      </c>
      <c r="BA15" s="7">
        <f>866961/83</f>
        <v>10445.313253012047</v>
      </c>
      <c r="BC15" s="3" t="s">
        <v>8</v>
      </c>
      <c r="BD15" s="3">
        <v>1208</v>
      </c>
      <c r="BE15" s="4">
        <v>1224</v>
      </c>
      <c r="BF15" s="4">
        <v>2084</v>
      </c>
      <c r="BG15" s="4">
        <v>1834</v>
      </c>
      <c r="BH15" s="17">
        <v>1292</v>
      </c>
      <c r="BI15" s="7">
        <f>179662/26</f>
        <v>6910.076923076923</v>
      </c>
      <c r="BJ15" s="7">
        <f>866961/83</f>
        <v>10445.313253012047</v>
      </c>
      <c r="BL15" s="10"/>
      <c r="BM15" s="10"/>
      <c r="BN15" s="10"/>
    </row>
    <row r="16" spans="1:66" ht="12.75">
      <c r="A16" s="54"/>
      <c r="B16" s="4"/>
      <c r="C16" s="4"/>
      <c r="D16" s="4"/>
      <c r="E16" s="4"/>
      <c r="F16" s="4"/>
      <c r="G16" s="10"/>
      <c r="H16" s="10"/>
      <c r="J16" s="3" t="s">
        <v>9</v>
      </c>
      <c r="K16" s="3">
        <v>1956</v>
      </c>
      <c r="L16" s="4">
        <v>2221</v>
      </c>
      <c r="M16" s="4">
        <v>2333</v>
      </c>
      <c r="N16" s="4">
        <v>2896</v>
      </c>
      <c r="O16" s="17">
        <v>4065</v>
      </c>
      <c r="P16" s="7">
        <f>311986/26</f>
        <v>11999.461538461539</v>
      </c>
      <c r="Q16" s="7">
        <f>1515667/83</f>
        <v>18261.048192771083</v>
      </c>
      <c r="S16" s="3" t="s">
        <v>9</v>
      </c>
      <c r="T16" s="3">
        <v>901</v>
      </c>
      <c r="U16" s="4">
        <v>1153</v>
      </c>
      <c r="V16" s="4">
        <v>1392</v>
      </c>
      <c r="W16" s="4">
        <v>1651</v>
      </c>
      <c r="X16" s="17">
        <v>2054</v>
      </c>
      <c r="Y16" s="7">
        <f>311986/26</f>
        <v>11999.461538461539</v>
      </c>
      <c r="Z16" s="7">
        <f>1515667/83</f>
        <v>18261.048192771083</v>
      </c>
      <c r="AB16" s="3" t="s">
        <v>9</v>
      </c>
      <c r="AC16" s="3">
        <v>1211</v>
      </c>
      <c r="AD16" s="4">
        <v>1471</v>
      </c>
      <c r="AE16" s="4">
        <v>1898</v>
      </c>
      <c r="AF16" s="4">
        <v>2289</v>
      </c>
      <c r="AG16" s="17">
        <v>2695</v>
      </c>
      <c r="AH16" s="7">
        <f>311986/26</f>
        <v>11999.461538461539</v>
      </c>
      <c r="AI16" s="7">
        <f>1515667/83</f>
        <v>18261.048192771083</v>
      </c>
      <c r="AK16" s="3" t="s">
        <v>9</v>
      </c>
      <c r="AL16" s="3">
        <v>1626</v>
      </c>
      <c r="AM16" s="4">
        <v>1314</v>
      </c>
      <c r="AN16" s="4">
        <v>1556</v>
      </c>
      <c r="AO16" s="4">
        <v>2194</v>
      </c>
      <c r="AP16" s="17">
        <v>6533</v>
      </c>
      <c r="AQ16" s="7">
        <f>311986/26</f>
        <v>11999.461538461539</v>
      </c>
      <c r="AR16" s="7">
        <f>1515667/83</f>
        <v>18261.048192771083</v>
      </c>
      <c r="AT16" s="3" t="s">
        <v>9</v>
      </c>
      <c r="AU16" s="3">
        <v>1011</v>
      </c>
      <c r="AV16" s="4">
        <v>1214</v>
      </c>
      <c r="AW16" s="4">
        <v>1547</v>
      </c>
      <c r="AX16" s="4">
        <v>2013</v>
      </c>
      <c r="AY16" s="17">
        <v>2550</v>
      </c>
      <c r="AZ16" s="7">
        <f>311986/26</f>
        <v>11999.461538461539</v>
      </c>
      <c r="BA16" s="7">
        <f>1515667/83</f>
        <v>18261.048192771083</v>
      </c>
      <c r="BC16" s="3" t="s">
        <v>9</v>
      </c>
      <c r="BD16" s="3">
        <v>2259</v>
      </c>
      <c r="BE16" s="4">
        <v>2488</v>
      </c>
      <c r="BF16" s="4">
        <v>2440</v>
      </c>
      <c r="BG16" s="4">
        <v>2156</v>
      </c>
      <c r="BH16" s="17">
        <v>1867</v>
      </c>
      <c r="BI16" s="7">
        <f>311986/26</f>
        <v>11999.461538461539</v>
      </c>
      <c r="BJ16" s="7">
        <f>1515667/83</f>
        <v>18261.048192771083</v>
      </c>
      <c r="BL16" s="10"/>
      <c r="BM16" s="10"/>
      <c r="BN16" s="10"/>
    </row>
    <row r="17" spans="1:66" ht="12.75">
      <c r="A17" s="54"/>
      <c r="B17" s="4"/>
      <c r="C17" s="4"/>
      <c r="D17" s="4"/>
      <c r="E17" s="4"/>
      <c r="F17" s="4"/>
      <c r="G17" s="10"/>
      <c r="H17" s="10"/>
      <c r="J17" s="3"/>
      <c r="K17" s="3"/>
      <c r="L17" s="3"/>
      <c r="M17" s="3"/>
      <c r="N17" s="4"/>
      <c r="O17" s="17"/>
      <c r="P17" s="7"/>
      <c r="Q17" s="7"/>
      <c r="S17" s="3"/>
      <c r="T17" s="3"/>
      <c r="U17" s="3"/>
      <c r="V17" s="3"/>
      <c r="W17" s="4"/>
      <c r="X17" s="17"/>
      <c r="Y17" s="7"/>
      <c r="Z17" s="7"/>
      <c r="AB17" s="3"/>
      <c r="AC17" s="3"/>
      <c r="AD17" s="3"/>
      <c r="AE17" s="3"/>
      <c r="AF17" s="4"/>
      <c r="AG17" s="17"/>
      <c r="AH17" s="7"/>
      <c r="AI17" s="7"/>
      <c r="AK17" s="3"/>
      <c r="AL17" s="3"/>
      <c r="AM17" s="3"/>
      <c r="AN17" s="3"/>
      <c r="AO17" s="4"/>
      <c r="AP17" s="17"/>
      <c r="AQ17" s="7"/>
      <c r="AR17" s="7"/>
      <c r="AT17" s="3"/>
      <c r="AU17" s="3"/>
      <c r="AV17" s="3"/>
      <c r="AW17" s="3"/>
      <c r="AX17" s="4"/>
      <c r="AY17" s="17"/>
      <c r="AZ17" s="7"/>
      <c r="BA17" s="7"/>
      <c r="BC17" s="3"/>
      <c r="BD17" s="3"/>
      <c r="BE17" s="3"/>
      <c r="BF17" s="3"/>
      <c r="BG17" s="4"/>
      <c r="BH17" s="17"/>
      <c r="BI17" s="7"/>
      <c r="BJ17" s="7"/>
      <c r="BL17" s="10"/>
      <c r="BM17" s="10"/>
      <c r="BN17" s="10"/>
    </row>
    <row r="18" spans="1:66" ht="12.75">
      <c r="A18" s="54"/>
      <c r="B18" s="4"/>
      <c r="C18" s="4"/>
      <c r="D18" s="4"/>
      <c r="E18" s="4"/>
      <c r="F18" s="4"/>
      <c r="G18" s="10"/>
      <c r="H18" s="10"/>
      <c r="J18" s="3" t="s">
        <v>10</v>
      </c>
      <c r="K18" s="4">
        <v>453</v>
      </c>
      <c r="L18" s="4">
        <v>473</v>
      </c>
      <c r="M18" s="4">
        <v>503</v>
      </c>
      <c r="N18" s="4">
        <v>522</v>
      </c>
      <c r="O18" s="17">
        <v>539</v>
      </c>
      <c r="P18" s="7">
        <f>34530/26</f>
        <v>1328.076923076923</v>
      </c>
      <c r="Q18" s="7">
        <f>184377/83</f>
        <v>2221.409638554217</v>
      </c>
      <c r="S18" s="3" t="s">
        <v>10</v>
      </c>
      <c r="T18" s="4">
        <v>167</v>
      </c>
      <c r="U18" s="4">
        <v>176</v>
      </c>
      <c r="V18" s="4">
        <v>198</v>
      </c>
      <c r="W18" s="4">
        <v>219</v>
      </c>
      <c r="X18" s="17">
        <v>252</v>
      </c>
      <c r="Y18" s="7">
        <f>34530/26</f>
        <v>1328.076923076923</v>
      </c>
      <c r="Z18" s="7">
        <f>184377/83</f>
        <v>2221.409638554217</v>
      </c>
      <c r="AB18" s="3" t="s">
        <v>10</v>
      </c>
      <c r="AC18" s="4">
        <v>337</v>
      </c>
      <c r="AD18" s="4">
        <v>347</v>
      </c>
      <c r="AE18" s="4">
        <v>357</v>
      </c>
      <c r="AF18" s="4">
        <v>368</v>
      </c>
      <c r="AG18" s="17">
        <v>365</v>
      </c>
      <c r="AH18" s="7">
        <f>34530/26</f>
        <v>1328.076923076923</v>
      </c>
      <c r="AI18" s="7">
        <f>184377/83</f>
        <v>2221.409638554217</v>
      </c>
      <c r="AK18" s="3" t="s">
        <v>10</v>
      </c>
      <c r="AL18" s="4">
        <v>482</v>
      </c>
      <c r="AM18" s="4">
        <v>371</v>
      </c>
      <c r="AN18" s="4">
        <v>334</v>
      </c>
      <c r="AO18" s="4">
        <v>346</v>
      </c>
      <c r="AP18" s="17">
        <v>803</v>
      </c>
      <c r="AQ18" s="7">
        <f>34530/26</f>
        <v>1328.076923076923</v>
      </c>
      <c r="AR18" s="7">
        <f>184377/83</f>
        <v>2221.409638554217</v>
      </c>
      <c r="AT18" s="3" t="s">
        <v>10</v>
      </c>
      <c r="AU18" s="4">
        <v>212</v>
      </c>
      <c r="AV18" s="4">
        <v>234</v>
      </c>
      <c r="AW18" s="4">
        <v>276</v>
      </c>
      <c r="AX18" s="4">
        <v>291</v>
      </c>
      <c r="AY18" s="17">
        <v>326</v>
      </c>
      <c r="AZ18" s="7">
        <f>34530/26</f>
        <v>1328.076923076923</v>
      </c>
      <c r="BA18" s="7">
        <f>184377/83</f>
        <v>2221.409638554217</v>
      </c>
      <c r="BC18" s="3" t="s">
        <v>10</v>
      </c>
      <c r="BD18" s="4">
        <v>377</v>
      </c>
      <c r="BE18" s="4">
        <v>359</v>
      </c>
      <c r="BF18" s="4">
        <v>352</v>
      </c>
      <c r="BG18" s="4">
        <v>303</v>
      </c>
      <c r="BH18" s="17">
        <v>277</v>
      </c>
      <c r="BI18" s="7">
        <f>34530/26</f>
        <v>1328.076923076923</v>
      </c>
      <c r="BJ18" s="7">
        <f>184377/83</f>
        <v>2221.409638554217</v>
      </c>
      <c r="BL18" s="10"/>
      <c r="BM18" s="10"/>
      <c r="BN18" s="10"/>
    </row>
    <row r="19" spans="1:66" ht="12.75">
      <c r="A19" s="54"/>
      <c r="B19" s="4"/>
      <c r="C19" s="4"/>
      <c r="D19" s="4"/>
      <c r="E19" s="4"/>
      <c r="F19" s="4"/>
      <c r="G19" s="10"/>
      <c r="H19" s="10"/>
      <c r="J19" s="3" t="s">
        <v>11</v>
      </c>
      <c r="K19" s="4">
        <v>97</v>
      </c>
      <c r="L19" s="4">
        <v>126</v>
      </c>
      <c r="M19" s="4">
        <v>177</v>
      </c>
      <c r="N19" s="4">
        <v>64</v>
      </c>
      <c r="O19" s="17">
        <v>62</v>
      </c>
      <c r="P19" s="7">
        <f>9160/26</f>
        <v>352.3076923076923</v>
      </c>
      <c r="Q19" s="7">
        <f>37693/83</f>
        <v>454.13253012048193</v>
      </c>
      <c r="S19" s="3" t="s">
        <v>11</v>
      </c>
      <c r="T19" s="4">
        <v>49</v>
      </c>
      <c r="U19" s="4">
        <v>36</v>
      </c>
      <c r="V19" s="4">
        <v>32</v>
      </c>
      <c r="W19" s="4">
        <v>19</v>
      </c>
      <c r="X19" s="17">
        <v>26</v>
      </c>
      <c r="Y19" s="7">
        <f>9160/26</f>
        <v>352.3076923076923</v>
      </c>
      <c r="Z19" s="7">
        <f>37693/83</f>
        <v>454.13253012048193</v>
      </c>
      <c r="AB19" s="3" t="s">
        <v>11</v>
      </c>
      <c r="AC19" s="4">
        <v>99</v>
      </c>
      <c r="AD19" s="4">
        <v>125</v>
      </c>
      <c r="AE19" s="4">
        <v>119</v>
      </c>
      <c r="AF19" s="4">
        <v>46</v>
      </c>
      <c r="AG19" s="17">
        <v>40</v>
      </c>
      <c r="AH19" s="7">
        <f>9160/26</f>
        <v>352.3076923076923</v>
      </c>
      <c r="AI19" s="7">
        <f>37693/83</f>
        <v>454.13253012048193</v>
      </c>
      <c r="AK19" s="3" t="s">
        <v>11</v>
      </c>
      <c r="AL19" s="4">
        <v>71</v>
      </c>
      <c r="AM19" s="4">
        <v>80</v>
      </c>
      <c r="AN19" s="4">
        <v>63</v>
      </c>
      <c r="AO19" s="4">
        <v>72</v>
      </c>
      <c r="AP19" s="17">
        <v>312</v>
      </c>
      <c r="AQ19" s="7">
        <f>9160/26</f>
        <v>352.3076923076923</v>
      </c>
      <c r="AR19" s="7">
        <f>37693/83</f>
        <v>454.13253012048193</v>
      </c>
      <c r="AT19" s="3" t="s">
        <v>11</v>
      </c>
      <c r="AU19" s="4">
        <v>48</v>
      </c>
      <c r="AV19" s="4">
        <v>54</v>
      </c>
      <c r="AW19" s="4">
        <v>66</v>
      </c>
      <c r="AX19" s="4">
        <v>33</v>
      </c>
      <c r="AY19" s="17">
        <v>44</v>
      </c>
      <c r="AZ19" s="7">
        <f>9160/26</f>
        <v>352.3076923076923</v>
      </c>
      <c r="BA19" s="7">
        <f>37693/83</f>
        <v>454.13253012048193</v>
      </c>
      <c r="BC19" s="3" t="s">
        <v>11</v>
      </c>
      <c r="BD19" s="4">
        <v>96</v>
      </c>
      <c r="BE19" s="4">
        <v>87</v>
      </c>
      <c r="BF19" s="4">
        <v>88</v>
      </c>
      <c r="BG19" s="4">
        <v>91</v>
      </c>
      <c r="BH19" s="17">
        <v>80</v>
      </c>
      <c r="BI19" s="7">
        <f>9160/26</f>
        <v>352.3076923076923</v>
      </c>
      <c r="BJ19" s="7">
        <f>37693/83</f>
        <v>454.13253012048193</v>
      </c>
      <c r="BL19" s="10"/>
      <c r="BM19" s="10"/>
      <c r="BN19" s="10"/>
    </row>
    <row r="20" spans="1:66" ht="12.75">
      <c r="A20" s="54"/>
      <c r="B20" s="4"/>
      <c r="C20" s="4"/>
      <c r="D20" s="4"/>
      <c r="E20" s="4"/>
      <c r="F20" s="4"/>
      <c r="G20" s="10"/>
      <c r="H20" s="10"/>
      <c r="J20" s="3" t="s">
        <v>12</v>
      </c>
      <c r="K20" s="4">
        <v>323</v>
      </c>
      <c r="L20" s="4">
        <v>292</v>
      </c>
      <c r="M20" s="4">
        <v>313</v>
      </c>
      <c r="N20" s="4">
        <v>309</v>
      </c>
      <c r="O20" s="17">
        <v>317</v>
      </c>
      <c r="P20" s="7">
        <f>21416/26</f>
        <v>823.6923076923077</v>
      </c>
      <c r="Q20" s="7">
        <f>106836/83</f>
        <v>1287.1807228915663</v>
      </c>
      <c r="S20" s="3" t="s">
        <v>12</v>
      </c>
      <c r="T20" s="4">
        <v>118</v>
      </c>
      <c r="U20" s="4">
        <v>115</v>
      </c>
      <c r="V20" s="4">
        <v>113</v>
      </c>
      <c r="W20" s="4">
        <v>114</v>
      </c>
      <c r="X20" s="17">
        <v>146</v>
      </c>
      <c r="Y20" s="7">
        <f>21416/26</f>
        <v>823.6923076923077</v>
      </c>
      <c r="Z20" s="7">
        <f>106836/83</f>
        <v>1287.1807228915663</v>
      </c>
      <c r="AB20" s="3" t="s">
        <v>12</v>
      </c>
      <c r="AC20" s="4">
        <v>256</v>
      </c>
      <c r="AD20" s="4">
        <v>258</v>
      </c>
      <c r="AE20" s="4">
        <v>235</v>
      </c>
      <c r="AF20" s="4">
        <v>222</v>
      </c>
      <c r="AG20" s="17">
        <v>218</v>
      </c>
      <c r="AH20" s="7">
        <f>21416/26</f>
        <v>823.6923076923077</v>
      </c>
      <c r="AI20" s="7">
        <f>106836/83</f>
        <v>1287.1807228915663</v>
      </c>
      <c r="AK20" s="3" t="s">
        <v>12</v>
      </c>
      <c r="AL20" s="4">
        <v>379</v>
      </c>
      <c r="AM20" s="4">
        <v>269</v>
      </c>
      <c r="AN20" s="4">
        <v>204</v>
      </c>
      <c r="AO20" s="4">
        <v>168</v>
      </c>
      <c r="AP20" s="17">
        <v>404</v>
      </c>
      <c r="AQ20" s="7">
        <f>21416/26</f>
        <v>823.6923076923077</v>
      </c>
      <c r="AR20" s="7">
        <f>106836/83</f>
        <v>1287.1807228915663</v>
      </c>
      <c r="AT20" s="3" t="s">
        <v>12</v>
      </c>
      <c r="AU20" s="4">
        <v>158</v>
      </c>
      <c r="AV20" s="4">
        <v>167</v>
      </c>
      <c r="AW20" s="4">
        <v>180</v>
      </c>
      <c r="AX20" s="4">
        <v>180</v>
      </c>
      <c r="AY20" s="17">
        <v>187</v>
      </c>
      <c r="AZ20" s="7">
        <f>21416/26</f>
        <v>823.6923076923077</v>
      </c>
      <c r="BA20" s="7">
        <f>106836/83</f>
        <v>1287.1807228915663</v>
      </c>
      <c r="BC20" s="3" t="s">
        <v>12</v>
      </c>
      <c r="BD20" s="4">
        <v>286</v>
      </c>
      <c r="BE20" s="4">
        <v>288</v>
      </c>
      <c r="BF20" s="4">
        <v>257</v>
      </c>
      <c r="BG20" s="4">
        <v>234</v>
      </c>
      <c r="BH20" s="17">
        <v>202</v>
      </c>
      <c r="BI20" s="7">
        <f>21416/26</f>
        <v>823.6923076923077</v>
      </c>
      <c r="BJ20" s="7">
        <f>106836/83</f>
        <v>1287.1807228915663</v>
      </c>
      <c r="BL20" s="10"/>
      <c r="BM20" s="10"/>
      <c r="BN20" s="10"/>
    </row>
    <row r="21" spans="1:66" ht="12.75">
      <c r="A21" s="54"/>
      <c r="B21" s="4"/>
      <c r="C21" s="4"/>
      <c r="D21" s="4"/>
      <c r="E21" s="4"/>
      <c r="F21" s="4"/>
      <c r="G21" s="10"/>
      <c r="H21" s="10"/>
      <c r="J21" s="3" t="s">
        <v>13</v>
      </c>
      <c r="K21" s="4">
        <v>145</v>
      </c>
      <c r="L21" s="4">
        <v>159</v>
      </c>
      <c r="M21" s="4">
        <v>182</v>
      </c>
      <c r="N21" s="4">
        <v>195</v>
      </c>
      <c r="O21" s="17">
        <v>255</v>
      </c>
      <c r="P21" s="7">
        <f>11513/26</f>
        <v>442.8076923076923</v>
      </c>
      <c r="Q21" s="7">
        <f>58664/83</f>
        <v>706.7951807228916</v>
      </c>
      <c r="S21" s="3" t="s">
        <v>13</v>
      </c>
      <c r="T21" s="4">
        <v>45</v>
      </c>
      <c r="U21" s="4">
        <v>47</v>
      </c>
      <c r="V21" s="4">
        <v>60</v>
      </c>
      <c r="W21" s="4">
        <v>70</v>
      </c>
      <c r="X21" s="17">
        <v>87</v>
      </c>
      <c r="Y21" s="7">
        <f>11513/26</f>
        <v>442.8076923076923</v>
      </c>
      <c r="Z21" s="7">
        <f>58664/83</f>
        <v>706.7951807228916</v>
      </c>
      <c r="AB21" s="3" t="s">
        <v>13</v>
      </c>
      <c r="AC21" s="4">
        <v>89</v>
      </c>
      <c r="AD21" s="4">
        <v>103</v>
      </c>
      <c r="AE21" s="4">
        <v>118</v>
      </c>
      <c r="AF21" s="4">
        <v>114</v>
      </c>
      <c r="AG21" s="17">
        <v>150</v>
      </c>
      <c r="AH21" s="7">
        <f>11513/26</f>
        <v>442.8076923076923</v>
      </c>
      <c r="AI21" s="7">
        <f>58664/83</f>
        <v>706.7951807228916</v>
      </c>
      <c r="AK21" s="3" t="s">
        <v>13</v>
      </c>
      <c r="AL21" s="4">
        <v>160</v>
      </c>
      <c r="AM21" s="4">
        <v>160</v>
      </c>
      <c r="AN21" s="4">
        <v>181</v>
      </c>
      <c r="AO21" s="4">
        <v>219</v>
      </c>
      <c r="AP21" s="17">
        <v>500</v>
      </c>
      <c r="AQ21" s="7">
        <f>11513/26</f>
        <v>442.8076923076923</v>
      </c>
      <c r="AR21" s="7">
        <f>58664/83</f>
        <v>706.7951807228916</v>
      </c>
      <c r="AT21" s="3" t="s">
        <v>13</v>
      </c>
      <c r="AU21" s="4">
        <v>38</v>
      </c>
      <c r="AV21" s="4">
        <v>40</v>
      </c>
      <c r="AW21" s="4">
        <v>45</v>
      </c>
      <c r="AX21" s="4">
        <v>63</v>
      </c>
      <c r="AY21" s="17">
        <v>75</v>
      </c>
      <c r="AZ21" s="7">
        <f>11513/26</f>
        <v>442.8076923076923</v>
      </c>
      <c r="BA21" s="7">
        <f>58664/83</f>
        <v>706.7951807228916</v>
      </c>
      <c r="BC21" s="3" t="s">
        <v>13</v>
      </c>
      <c r="BD21" s="4">
        <v>83</v>
      </c>
      <c r="BE21" s="4">
        <v>98</v>
      </c>
      <c r="BF21" s="4">
        <v>130</v>
      </c>
      <c r="BG21" s="4">
        <v>165</v>
      </c>
      <c r="BH21" s="17">
        <v>175</v>
      </c>
      <c r="BI21" s="7">
        <f>11513/26</f>
        <v>442.8076923076923</v>
      </c>
      <c r="BJ21" s="7">
        <f>58664/83</f>
        <v>706.7951807228916</v>
      </c>
      <c r="BL21" s="10"/>
      <c r="BM21" s="10"/>
      <c r="BN21" s="10"/>
    </row>
    <row r="22" spans="1:66" ht="12.75">
      <c r="A22" s="54"/>
      <c r="B22" s="4"/>
      <c r="C22" s="4"/>
      <c r="D22" s="4"/>
      <c r="E22" s="4"/>
      <c r="F22" s="4"/>
      <c r="G22" s="4"/>
      <c r="H22" s="4"/>
      <c r="J22" s="3"/>
      <c r="K22" s="3"/>
      <c r="L22" s="3"/>
      <c r="M22" s="3"/>
      <c r="N22" s="4"/>
      <c r="O22" s="17"/>
      <c r="P22" s="3"/>
      <c r="Q22" s="3"/>
      <c r="S22" s="3"/>
      <c r="T22" s="3"/>
      <c r="U22" s="3"/>
      <c r="V22" s="3"/>
      <c r="W22" s="4"/>
      <c r="X22" s="17"/>
      <c r="Y22" s="3"/>
      <c r="Z22" s="3"/>
      <c r="AB22" s="3"/>
      <c r="AC22" s="3"/>
      <c r="AD22" s="3"/>
      <c r="AE22" s="3"/>
      <c r="AF22" s="4"/>
      <c r="AG22" s="17"/>
      <c r="AH22" s="3"/>
      <c r="AI22" s="3"/>
      <c r="AK22" s="3"/>
      <c r="AL22" s="3"/>
      <c r="AM22" s="3"/>
      <c r="AN22" s="3"/>
      <c r="AO22" s="4"/>
      <c r="AP22" s="17"/>
      <c r="AQ22" s="3"/>
      <c r="AR22" s="3"/>
      <c r="AT22" s="3"/>
      <c r="AU22" s="3"/>
      <c r="AV22" s="3"/>
      <c r="AW22" s="3"/>
      <c r="AX22" s="4"/>
      <c r="AY22" s="17"/>
      <c r="AZ22" s="3"/>
      <c r="BA22" s="3"/>
      <c r="BC22" s="3"/>
      <c r="BD22" s="3"/>
      <c r="BE22" s="3"/>
      <c r="BF22" s="3"/>
      <c r="BG22" s="4"/>
      <c r="BH22" s="17"/>
      <c r="BI22" s="3"/>
      <c r="BJ22" s="3"/>
      <c r="BL22" s="4"/>
      <c r="BM22" s="4"/>
      <c r="BN22" s="4"/>
    </row>
    <row r="23" spans="1:66" ht="12.75">
      <c r="A23" s="55"/>
      <c r="B23" s="5"/>
      <c r="C23" s="5"/>
      <c r="D23" s="5"/>
      <c r="E23" s="5"/>
      <c r="F23" s="5"/>
      <c r="G23" s="5"/>
      <c r="H23" s="5"/>
      <c r="I23" s="6"/>
      <c r="J23" s="6" t="s">
        <v>14</v>
      </c>
      <c r="K23" s="5">
        <v>8.49</v>
      </c>
      <c r="L23" s="5">
        <v>6.21</v>
      </c>
      <c r="M23" s="5">
        <v>4.8</v>
      </c>
      <c r="N23" s="5">
        <v>3.74</v>
      </c>
      <c r="O23" s="18">
        <v>3.55</v>
      </c>
      <c r="P23" s="5">
        <v>4.31</v>
      </c>
      <c r="Q23" s="5">
        <v>4.35</v>
      </c>
      <c r="R23" s="6"/>
      <c r="S23" s="6" t="s">
        <v>14</v>
      </c>
      <c r="T23" s="5">
        <v>6.55</v>
      </c>
      <c r="U23" s="5">
        <v>5.56</v>
      </c>
      <c r="V23" s="5">
        <v>4.76</v>
      </c>
      <c r="W23" s="5">
        <v>4.13</v>
      </c>
      <c r="X23" s="18">
        <v>4.53</v>
      </c>
      <c r="Y23" s="5">
        <v>4.31</v>
      </c>
      <c r="Z23" s="5">
        <v>4.35</v>
      </c>
      <c r="AA23" s="6"/>
      <c r="AB23" s="6" t="s">
        <v>14</v>
      </c>
      <c r="AC23" s="5">
        <v>8.4</v>
      </c>
      <c r="AD23" s="5">
        <v>7.51</v>
      </c>
      <c r="AE23" s="5">
        <v>6.19</v>
      </c>
      <c r="AF23" s="5">
        <v>5.46</v>
      </c>
      <c r="AG23" s="18">
        <v>5.08</v>
      </c>
      <c r="AH23" s="5">
        <v>4.31</v>
      </c>
      <c r="AI23" s="5">
        <v>4.35</v>
      </c>
      <c r="AJ23" s="6"/>
      <c r="AK23" s="6" t="s">
        <v>14</v>
      </c>
      <c r="AL23" s="5">
        <v>7.04</v>
      </c>
      <c r="AM23" s="5">
        <v>7.04</v>
      </c>
      <c r="AN23" s="5">
        <v>6.14</v>
      </c>
      <c r="AO23" s="5">
        <v>4.52</v>
      </c>
      <c r="AP23" s="18">
        <v>5.98</v>
      </c>
      <c r="AQ23" s="5">
        <v>4.31</v>
      </c>
      <c r="AR23" s="5">
        <v>4.35</v>
      </c>
      <c r="AS23" s="6"/>
      <c r="AT23" s="6" t="s">
        <v>14</v>
      </c>
      <c r="AU23" s="5">
        <v>8.67</v>
      </c>
      <c r="AV23" s="5">
        <v>7.73</v>
      </c>
      <c r="AW23" s="5">
        <v>6.9</v>
      </c>
      <c r="AX23" s="5">
        <v>6</v>
      </c>
      <c r="AY23" s="18">
        <v>5.53</v>
      </c>
      <c r="AZ23" s="5">
        <v>4.31</v>
      </c>
      <c r="BA23" s="5">
        <v>4.35</v>
      </c>
      <c r="BB23" s="6"/>
      <c r="BC23" s="6" t="s">
        <v>14</v>
      </c>
      <c r="BD23" s="5">
        <v>7.83</v>
      </c>
      <c r="BE23" s="5">
        <v>7.4</v>
      </c>
      <c r="BF23" s="5">
        <v>5.56</v>
      </c>
      <c r="BG23" s="5">
        <v>5.11</v>
      </c>
      <c r="BH23" s="18">
        <v>5.43</v>
      </c>
      <c r="BI23" s="5">
        <v>4.31</v>
      </c>
      <c r="BJ23" s="5">
        <v>4.35</v>
      </c>
      <c r="BK23" s="6"/>
      <c r="BL23" s="5"/>
      <c r="BM23" s="5"/>
      <c r="BN23" s="5"/>
    </row>
    <row r="24" spans="1:66" ht="12.75">
      <c r="A24" s="55"/>
      <c r="B24" s="5"/>
      <c r="C24" s="5"/>
      <c r="D24" s="5"/>
      <c r="E24" s="5"/>
      <c r="F24" s="5"/>
      <c r="G24" s="5"/>
      <c r="H24" s="5"/>
      <c r="I24" s="6"/>
      <c r="J24" s="6" t="s">
        <v>18</v>
      </c>
      <c r="K24" s="5">
        <v>3</v>
      </c>
      <c r="L24" s="5">
        <v>3.93</v>
      </c>
      <c r="M24" s="6">
        <v>3.68</v>
      </c>
      <c r="N24" s="5">
        <v>5.02</v>
      </c>
      <c r="O24" s="18">
        <v>3.37</v>
      </c>
      <c r="P24" s="5">
        <v>4.21</v>
      </c>
      <c r="Q24" s="5">
        <v>3.79</v>
      </c>
      <c r="R24" s="6"/>
      <c r="S24" s="6" t="s">
        <v>18</v>
      </c>
      <c r="T24" s="5">
        <v>3.31</v>
      </c>
      <c r="U24" s="5">
        <v>3.37</v>
      </c>
      <c r="V24" s="6">
        <v>3.5</v>
      </c>
      <c r="W24" s="5">
        <v>3.66</v>
      </c>
      <c r="X24" s="18">
        <v>3.62</v>
      </c>
      <c r="Y24" s="5">
        <v>4.21</v>
      </c>
      <c r="Z24" s="5">
        <v>3.79</v>
      </c>
      <c r="AA24" s="6"/>
      <c r="AB24" s="6" t="s">
        <v>18</v>
      </c>
      <c r="AC24" s="5">
        <v>4.2</v>
      </c>
      <c r="AD24" s="5">
        <v>4.05</v>
      </c>
      <c r="AE24" s="6">
        <v>4.05</v>
      </c>
      <c r="AF24" s="5">
        <v>4.51</v>
      </c>
      <c r="AG24" s="18">
        <v>4.58</v>
      </c>
      <c r="AH24" s="5">
        <v>4.21</v>
      </c>
      <c r="AI24" s="5">
        <v>3.79</v>
      </c>
      <c r="AJ24" s="6"/>
      <c r="AK24" s="6" t="s">
        <v>18</v>
      </c>
      <c r="AL24" s="5">
        <v>6.84</v>
      </c>
      <c r="AM24" s="5">
        <v>7.39</v>
      </c>
      <c r="AN24" s="6">
        <v>7.97</v>
      </c>
      <c r="AO24" s="5">
        <v>9.78</v>
      </c>
      <c r="AP24" s="18">
        <v>7.3</v>
      </c>
      <c r="AQ24" s="5">
        <v>4.21</v>
      </c>
      <c r="AR24" s="5">
        <v>3.79</v>
      </c>
      <c r="AS24" s="6"/>
      <c r="AT24" s="6" t="s">
        <v>18</v>
      </c>
      <c r="AU24" s="5">
        <v>3.93</v>
      </c>
      <c r="AV24" s="5">
        <v>3.89</v>
      </c>
      <c r="AW24" s="6">
        <v>4.56</v>
      </c>
      <c r="AX24" s="5">
        <v>4.42</v>
      </c>
      <c r="AY24" s="18">
        <v>5.19</v>
      </c>
      <c r="AZ24" s="5">
        <v>4.21</v>
      </c>
      <c r="BA24" s="5">
        <v>3.79</v>
      </c>
      <c r="BB24" s="6"/>
      <c r="BC24" s="6" t="s">
        <v>18</v>
      </c>
      <c r="BD24" s="5">
        <v>2.99</v>
      </c>
      <c r="BE24" s="5">
        <v>1.48</v>
      </c>
      <c r="BF24" s="6">
        <v>2.97</v>
      </c>
      <c r="BG24" s="5">
        <v>2.97</v>
      </c>
      <c r="BH24" s="18">
        <v>3.33</v>
      </c>
      <c r="BI24" s="5">
        <v>4.21</v>
      </c>
      <c r="BJ24" s="5">
        <v>3.79</v>
      </c>
      <c r="BK24" s="6"/>
      <c r="BL24" s="5"/>
      <c r="BM24" s="5"/>
      <c r="BN24" s="5"/>
    </row>
    <row r="25" spans="1:66" ht="12.75">
      <c r="A25" s="55"/>
      <c r="B25" s="5"/>
      <c r="C25" s="5"/>
      <c r="D25" s="5"/>
      <c r="E25" s="5"/>
      <c r="F25" s="5"/>
      <c r="G25" s="5"/>
      <c r="H25" s="5"/>
      <c r="I25" s="6"/>
      <c r="J25" s="6" t="s">
        <v>54</v>
      </c>
      <c r="K25" s="5">
        <v>20.08</v>
      </c>
      <c r="L25" s="5">
        <v>23.05</v>
      </c>
      <c r="M25" s="5">
        <v>23.5</v>
      </c>
      <c r="N25" s="5">
        <v>23.96</v>
      </c>
      <c r="O25" s="18">
        <v>30.01</v>
      </c>
      <c r="P25" s="5">
        <v>12.22</v>
      </c>
      <c r="Q25" s="5">
        <v>20.17</v>
      </c>
      <c r="R25" s="6"/>
      <c r="S25" s="6" t="s">
        <v>54</v>
      </c>
      <c r="T25" s="5">
        <v>12.45</v>
      </c>
      <c r="U25" s="5">
        <v>13.22</v>
      </c>
      <c r="V25" s="5">
        <v>15.96</v>
      </c>
      <c r="W25" s="5">
        <v>17.07</v>
      </c>
      <c r="X25" s="18">
        <v>16.61</v>
      </c>
      <c r="Y25" s="5">
        <v>12.22</v>
      </c>
      <c r="Z25" s="5">
        <v>20.17</v>
      </c>
      <c r="AA25" s="6"/>
      <c r="AB25" s="6" t="s">
        <v>54</v>
      </c>
      <c r="AC25" s="5">
        <v>19.43</v>
      </c>
      <c r="AD25" s="5">
        <v>21.58</v>
      </c>
      <c r="AE25" s="5">
        <v>24.08</v>
      </c>
      <c r="AF25" s="5">
        <v>22.8</v>
      </c>
      <c r="AG25" s="18">
        <v>30.43</v>
      </c>
      <c r="AH25" s="5">
        <v>12.22</v>
      </c>
      <c r="AI25" s="5">
        <v>20.17</v>
      </c>
      <c r="AJ25" s="6"/>
      <c r="AK25" s="6" t="s">
        <v>54</v>
      </c>
      <c r="AL25" s="5">
        <v>3.68</v>
      </c>
      <c r="AM25" s="5">
        <v>5.78</v>
      </c>
      <c r="AN25" s="5">
        <v>8.13</v>
      </c>
      <c r="AO25" s="5">
        <v>11.02</v>
      </c>
      <c r="AP25" s="18">
        <v>15.4</v>
      </c>
      <c r="AQ25" s="5">
        <v>12.22</v>
      </c>
      <c r="AR25" s="5">
        <v>20.17</v>
      </c>
      <c r="AS25" s="6"/>
      <c r="AT25" s="6" t="s">
        <v>54</v>
      </c>
      <c r="AU25" s="5">
        <v>11.86</v>
      </c>
      <c r="AV25" s="5">
        <v>11.36</v>
      </c>
      <c r="AW25" s="5">
        <v>11.1</v>
      </c>
      <c r="AX25" s="5">
        <v>12.76</v>
      </c>
      <c r="AY25" s="18">
        <v>13.89</v>
      </c>
      <c r="AZ25" s="5">
        <v>12.22</v>
      </c>
      <c r="BA25" s="5">
        <v>20.17</v>
      </c>
      <c r="BB25" s="6"/>
      <c r="BC25" s="6" t="s">
        <v>54</v>
      </c>
      <c r="BD25" s="5">
        <v>9.25</v>
      </c>
      <c r="BE25" s="5">
        <v>10.96</v>
      </c>
      <c r="BF25" s="5">
        <v>14.31</v>
      </c>
      <c r="BG25" s="5">
        <v>13.63</v>
      </c>
      <c r="BH25" s="18">
        <v>13.71</v>
      </c>
      <c r="BI25" s="5">
        <v>12.22</v>
      </c>
      <c r="BJ25" s="5">
        <v>20.17</v>
      </c>
      <c r="BK25" s="6"/>
      <c r="BL25" s="5"/>
      <c r="BM25" s="5"/>
      <c r="BN25" s="5"/>
    </row>
    <row r="26" spans="1:66" ht="12.75">
      <c r="A26" s="55"/>
      <c r="B26" s="5"/>
      <c r="C26" s="5"/>
      <c r="D26" s="5"/>
      <c r="E26" s="5"/>
      <c r="F26" s="5"/>
      <c r="G26" s="5"/>
      <c r="H26" s="5"/>
      <c r="I26" s="6"/>
      <c r="J26" s="6"/>
      <c r="K26" s="6"/>
      <c r="L26" s="6"/>
      <c r="M26" s="6"/>
      <c r="N26" s="5"/>
      <c r="O26" s="18"/>
      <c r="P26" s="6"/>
      <c r="Q26" s="6"/>
      <c r="R26" s="6"/>
      <c r="S26" s="6"/>
      <c r="T26" s="6"/>
      <c r="U26" s="6"/>
      <c r="V26" s="6"/>
      <c r="W26" s="5"/>
      <c r="X26" s="18"/>
      <c r="Y26" s="6"/>
      <c r="Z26" s="6"/>
      <c r="AA26" s="6"/>
      <c r="AB26" s="6"/>
      <c r="AC26" s="6"/>
      <c r="AD26" s="6"/>
      <c r="AE26" s="6"/>
      <c r="AF26" s="5"/>
      <c r="AG26" s="18"/>
      <c r="AH26" s="6"/>
      <c r="AI26" s="6"/>
      <c r="AJ26" s="6"/>
      <c r="AK26" s="6"/>
      <c r="AL26" s="6"/>
      <c r="AM26" s="6"/>
      <c r="AN26" s="6"/>
      <c r="AO26" s="5"/>
      <c r="AP26" s="18"/>
      <c r="AQ26" s="6"/>
      <c r="AR26" s="6"/>
      <c r="AS26" s="6"/>
      <c r="AT26" s="6"/>
      <c r="AU26" s="6"/>
      <c r="AV26" s="6"/>
      <c r="AW26" s="6"/>
      <c r="AX26" s="5"/>
      <c r="AY26" s="18"/>
      <c r="AZ26" s="6"/>
      <c r="BA26" s="6"/>
      <c r="BB26" s="6"/>
      <c r="BC26" s="6"/>
      <c r="BD26" s="6"/>
      <c r="BE26" s="6"/>
      <c r="BF26" s="6"/>
      <c r="BG26" s="5"/>
      <c r="BH26" s="18"/>
      <c r="BI26" s="6"/>
      <c r="BJ26" s="6"/>
      <c r="BK26" s="6"/>
      <c r="BL26" s="5"/>
      <c r="BM26" s="5"/>
      <c r="BN26" s="5"/>
    </row>
    <row r="27" spans="1:66" ht="12.75">
      <c r="A27" s="55"/>
      <c r="B27" s="5"/>
      <c r="C27" s="5"/>
      <c r="D27" s="5"/>
      <c r="E27" s="5"/>
      <c r="F27" s="5"/>
      <c r="G27" s="5"/>
      <c r="H27" s="5"/>
      <c r="I27" s="6"/>
      <c r="J27" s="6" t="s">
        <v>15</v>
      </c>
      <c r="K27" s="5">
        <v>0.84</v>
      </c>
      <c r="L27" s="5">
        <v>1.12</v>
      </c>
      <c r="M27" s="5">
        <v>0.82</v>
      </c>
      <c r="N27" s="5">
        <v>0.38</v>
      </c>
      <c r="O27" s="18">
        <v>0.19</v>
      </c>
      <c r="P27" s="5">
        <v>1.08</v>
      </c>
      <c r="Q27" s="5">
        <v>1</v>
      </c>
      <c r="R27" s="6"/>
      <c r="S27" s="6" t="s">
        <v>15</v>
      </c>
      <c r="T27" s="5">
        <v>1.08</v>
      </c>
      <c r="U27" s="5">
        <v>1.17</v>
      </c>
      <c r="V27" s="5">
        <v>1.25</v>
      </c>
      <c r="W27" s="5">
        <v>0.62</v>
      </c>
      <c r="X27" s="18">
        <v>0.15</v>
      </c>
      <c r="Y27" s="5">
        <v>1.08</v>
      </c>
      <c r="Z27" s="5">
        <v>1</v>
      </c>
      <c r="AA27" s="6"/>
      <c r="AB27" s="6" t="s">
        <v>15</v>
      </c>
      <c r="AC27" s="5">
        <v>1.07</v>
      </c>
      <c r="AD27" s="5">
        <v>1.17</v>
      </c>
      <c r="AE27" s="5">
        <v>1.31</v>
      </c>
      <c r="AF27" s="5">
        <v>0.24</v>
      </c>
      <c r="AG27" s="18">
        <v>0.13</v>
      </c>
      <c r="AH27" s="5">
        <v>1.08</v>
      </c>
      <c r="AI27" s="5">
        <v>1</v>
      </c>
      <c r="AJ27" s="6"/>
      <c r="AK27" s="6" t="s">
        <v>15</v>
      </c>
      <c r="AL27" s="5">
        <v>-3.27</v>
      </c>
      <c r="AM27" s="5">
        <v>-0.7</v>
      </c>
      <c r="AN27" s="5">
        <v>-3.16</v>
      </c>
      <c r="AO27" s="5">
        <v>0.64</v>
      </c>
      <c r="AP27" s="18">
        <v>0.89</v>
      </c>
      <c r="AQ27" s="5">
        <v>1.08</v>
      </c>
      <c r="AR27" s="5">
        <v>1</v>
      </c>
      <c r="AS27" s="6"/>
      <c r="AT27" s="6" t="s">
        <v>15</v>
      </c>
      <c r="AU27" s="5">
        <v>1.33</v>
      </c>
      <c r="AV27" s="5">
        <v>1.33</v>
      </c>
      <c r="AW27" s="5">
        <v>1.86</v>
      </c>
      <c r="AX27" s="5">
        <v>1.33</v>
      </c>
      <c r="AY27" s="18">
        <v>1.46</v>
      </c>
      <c r="AZ27" s="5">
        <v>1.08</v>
      </c>
      <c r="BA27" s="5">
        <v>1</v>
      </c>
      <c r="BB27" s="6"/>
      <c r="BC27" s="6" t="s">
        <v>15</v>
      </c>
      <c r="BD27" s="5">
        <v>0.95</v>
      </c>
      <c r="BE27" s="5">
        <v>0.85</v>
      </c>
      <c r="BF27" s="5">
        <v>0.37</v>
      </c>
      <c r="BG27" s="5">
        <v>-3.38</v>
      </c>
      <c r="BH27" s="18">
        <v>-2.01</v>
      </c>
      <c r="BI27" s="5">
        <v>1.08</v>
      </c>
      <c r="BJ27" s="5">
        <v>1</v>
      </c>
      <c r="BK27" s="6"/>
      <c r="BL27" s="5"/>
      <c r="BM27" s="5"/>
      <c r="BN27" s="5"/>
    </row>
    <row r="28" spans="1:66" ht="12.75">
      <c r="A28" s="55"/>
      <c r="B28" s="5"/>
      <c r="C28" s="5"/>
      <c r="D28" s="5"/>
      <c r="E28" s="5"/>
      <c r="F28" s="5"/>
      <c r="G28" s="5"/>
      <c r="H28" s="5"/>
      <c r="I28" s="6"/>
      <c r="J28" s="6" t="s">
        <v>16</v>
      </c>
      <c r="K28" s="5">
        <v>12.07</v>
      </c>
      <c r="L28" s="5">
        <v>11.29</v>
      </c>
      <c r="M28" s="5">
        <v>11.18</v>
      </c>
      <c r="N28" s="5">
        <v>12.75</v>
      </c>
      <c r="O28" s="18">
        <v>10.6</v>
      </c>
      <c r="P28" s="5">
        <v>12.49</v>
      </c>
      <c r="Q28" s="6">
        <v>12.24</v>
      </c>
      <c r="R28" s="6"/>
      <c r="S28" s="6" t="s">
        <v>16</v>
      </c>
      <c r="T28" s="5">
        <v>15.09</v>
      </c>
      <c r="U28" s="5">
        <v>13.87</v>
      </c>
      <c r="V28" s="5">
        <v>16.25</v>
      </c>
      <c r="W28" s="5">
        <v>14.95</v>
      </c>
      <c r="X28" s="18">
        <v>11.24</v>
      </c>
      <c r="Y28" s="5">
        <v>12.49</v>
      </c>
      <c r="Z28" s="6">
        <v>12.24</v>
      </c>
      <c r="AA28" s="6"/>
      <c r="AB28" s="6" t="s">
        <v>16</v>
      </c>
      <c r="AC28" s="5">
        <v>9.57</v>
      </c>
      <c r="AD28" s="5">
        <v>10.58</v>
      </c>
      <c r="AE28" s="5">
        <v>11.23</v>
      </c>
      <c r="AF28" s="5">
        <v>11.35</v>
      </c>
      <c r="AG28" s="18">
        <v>11.26</v>
      </c>
      <c r="AH28" s="5">
        <v>12.49</v>
      </c>
      <c r="AI28" s="6">
        <v>12.24</v>
      </c>
      <c r="AJ28" s="6"/>
      <c r="AK28" s="6" t="s">
        <v>16</v>
      </c>
      <c r="AL28" s="5">
        <v>4.16</v>
      </c>
      <c r="AM28" s="5">
        <v>3.02</v>
      </c>
      <c r="AN28" s="5">
        <v>7.49</v>
      </c>
      <c r="AO28" s="5">
        <v>21.42</v>
      </c>
      <c r="AP28" s="18">
        <v>12.52</v>
      </c>
      <c r="AQ28" s="5">
        <v>12.49</v>
      </c>
      <c r="AR28" s="6">
        <v>12.24</v>
      </c>
      <c r="AS28" s="6"/>
      <c r="AT28" s="6" t="s">
        <v>16</v>
      </c>
      <c r="AU28" s="5">
        <v>13.97</v>
      </c>
      <c r="AV28" s="5">
        <v>13.95</v>
      </c>
      <c r="AW28" s="5">
        <v>13.36</v>
      </c>
      <c r="AX28" s="5">
        <v>12.18</v>
      </c>
      <c r="AY28" s="18">
        <v>12.33</v>
      </c>
      <c r="AZ28" s="5">
        <v>12.49</v>
      </c>
      <c r="BA28" s="6">
        <v>12.24</v>
      </c>
      <c r="BB28" s="6"/>
      <c r="BC28" s="6" t="s">
        <v>16</v>
      </c>
      <c r="BD28" s="5">
        <v>11.49</v>
      </c>
      <c r="BE28" s="5">
        <v>10.08</v>
      </c>
      <c r="BF28" s="5">
        <v>14.26</v>
      </c>
      <c r="BG28" s="5">
        <v>9.88</v>
      </c>
      <c r="BH28" s="18">
        <v>9.66</v>
      </c>
      <c r="BI28" s="5">
        <v>12.49</v>
      </c>
      <c r="BJ28" s="6">
        <v>12.24</v>
      </c>
      <c r="BK28" s="6"/>
      <c r="BL28" s="5"/>
      <c r="BM28" s="5"/>
      <c r="BN28" s="5"/>
    </row>
    <row r="29" spans="1:66" ht="12.75">
      <c r="A29" s="55"/>
      <c r="B29" s="5"/>
      <c r="C29" s="5"/>
      <c r="D29" s="5"/>
      <c r="E29" s="5"/>
      <c r="F29" s="5"/>
      <c r="G29" s="5"/>
      <c r="H29" s="5"/>
      <c r="I29" s="6"/>
      <c r="J29" s="6" t="s">
        <v>17</v>
      </c>
      <c r="K29" s="6">
        <v>8.86</v>
      </c>
      <c r="L29" s="6">
        <v>6.8</v>
      </c>
      <c r="M29" s="6">
        <v>2.99</v>
      </c>
      <c r="N29" s="5">
        <v>2.5</v>
      </c>
      <c r="O29" s="18">
        <v>0.99</v>
      </c>
      <c r="P29" s="6">
        <v>1.04</v>
      </c>
      <c r="Q29" s="5">
        <v>1.22</v>
      </c>
      <c r="R29" s="6"/>
      <c r="S29" s="6" t="s">
        <v>17</v>
      </c>
      <c r="T29" s="6">
        <v>4.38</v>
      </c>
      <c r="U29" s="6">
        <v>3.31</v>
      </c>
      <c r="V29" s="6">
        <v>2.26</v>
      </c>
      <c r="W29" s="5">
        <v>1.56</v>
      </c>
      <c r="X29" s="18">
        <v>1.87</v>
      </c>
      <c r="Y29" s="6">
        <v>1.04</v>
      </c>
      <c r="Z29" s="5">
        <v>1.22</v>
      </c>
      <c r="AA29" s="6"/>
      <c r="AB29" s="6" t="s">
        <v>17</v>
      </c>
      <c r="AC29" s="6">
        <v>9.92</v>
      </c>
      <c r="AD29" s="6">
        <v>7.9</v>
      </c>
      <c r="AE29" s="6">
        <v>4.65</v>
      </c>
      <c r="AF29" s="5">
        <v>3.8</v>
      </c>
      <c r="AG29" s="18">
        <v>2.78</v>
      </c>
      <c r="AH29" s="6">
        <v>1.04</v>
      </c>
      <c r="AI29" s="5">
        <v>1.22</v>
      </c>
      <c r="AJ29" s="6"/>
      <c r="AK29" s="6" t="s">
        <v>17</v>
      </c>
      <c r="AL29" s="6">
        <v>5.82</v>
      </c>
      <c r="AM29" s="6">
        <v>7.92</v>
      </c>
      <c r="AN29" s="6">
        <v>4.43</v>
      </c>
      <c r="AO29" s="5">
        <v>2.49</v>
      </c>
      <c r="AP29" s="18">
        <v>1.13</v>
      </c>
      <c r="AQ29" s="6">
        <v>1.04</v>
      </c>
      <c r="AR29" s="5">
        <v>1.22</v>
      </c>
      <c r="AS29" s="6"/>
      <c r="AT29" s="6" t="s">
        <v>17</v>
      </c>
      <c r="AU29" s="6">
        <v>8.22</v>
      </c>
      <c r="AV29" s="6">
        <v>8.21</v>
      </c>
      <c r="AW29" s="6">
        <v>6.37</v>
      </c>
      <c r="AX29" s="5">
        <v>3.37</v>
      </c>
      <c r="AY29" s="18">
        <v>1.95</v>
      </c>
      <c r="AZ29" s="6">
        <v>1.04</v>
      </c>
      <c r="BA29" s="5">
        <v>1.22</v>
      </c>
      <c r="BB29" s="6"/>
      <c r="BC29" s="6" t="s">
        <v>17</v>
      </c>
      <c r="BD29" s="6">
        <v>6.47</v>
      </c>
      <c r="BE29" s="6">
        <v>7.76</v>
      </c>
      <c r="BF29" s="6">
        <v>4.87</v>
      </c>
      <c r="BG29" s="5">
        <v>6.34</v>
      </c>
      <c r="BH29" s="18">
        <v>4.5</v>
      </c>
      <c r="BI29" s="6">
        <v>1.04</v>
      </c>
      <c r="BJ29" s="5">
        <v>1.22</v>
      </c>
      <c r="BK29" s="6"/>
      <c r="BL29" s="5"/>
      <c r="BM29" s="5"/>
      <c r="BN29" s="5"/>
    </row>
    <row r="30" spans="1:65" ht="12.75">
      <c r="A30" s="3"/>
      <c r="B30" s="3"/>
      <c r="C30" s="3"/>
      <c r="D30" s="3"/>
      <c r="E30" s="3"/>
      <c r="F30" s="3"/>
      <c r="G30" s="3"/>
      <c r="J30" s="3"/>
      <c r="K30" s="3"/>
      <c r="L30" s="3"/>
      <c r="M30" s="3"/>
      <c r="N30" s="3"/>
      <c r="O30" s="3"/>
      <c r="P30" s="3"/>
      <c r="Q30" s="3"/>
      <c r="S30" s="3"/>
      <c r="T30" s="3"/>
      <c r="U30" s="3"/>
      <c r="V30" s="3"/>
      <c r="W30" s="3"/>
      <c r="X30" s="3"/>
      <c r="Y30" s="3"/>
      <c r="Z30" s="3"/>
      <c r="AB30" s="3"/>
      <c r="AC30" s="3"/>
      <c r="AD30" s="3"/>
      <c r="AE30" s="3"/>
      <c r="AF30" s="3"/>
      <c r="AG30" s="3"/>
      <c r="AH30" s="3"/>
      <c r="AI30" s="3"/>
      <c r="AK30" s="3"/>
      <c r="AL30" s="3"/>
      <c r="AM30" s="3"/>
      <c r="AN30" s="3"/>
      <c r="AO30" s="3"/>
      <c r="AP30" s="3"/>
      <c r="AQ30" s="3"/>
      <c r="AR30" s="3"/>
      <c r="AT30" s="3"/>
      <c r="AU30" s="3"/>
      <c r="AV30" s="3"/>
      <c r="AW30" s="3"/>
      <c r="AX30" s="3"/>
      <c r="AY30" s="3"/>
      <c r="AZ30" s="3"/>
      <c r="BA30" s="3"/>
      <c r="BC30" s="3"/>
      <c r="BD30" s="3"/>
      <c r="BE30" s="3"/>
      <c r="BF30" s="3"/>
      <c r="BG30" s="3"/>
      <c r="BH30" s="3"/>
      <c r="BI30" s="3"/>
      <c r="BJ30" s="3"/>
      <c r="BL30" s="3"/>
      <c r="BM30" s="3"/>
    </row>
    <row r="32" spans="1:62" ht="12.75">
      <c r="A32" s="26" t="s">
        <v>44</v>
      </c>
      <c r="B32" s="27"/>
      <c r="C32" s="27"/>
      <c r="D32" s="27"/>
      <c r="E32" s="27"/>
      <c r="F32" s="27"/>
      <c r="G32" s="26" t="s">
        <v>96</v>
      </c>
      <c r="H32" s="17"/>
      <c r="J32" s="26" t="s">
        <v>44</v>
      </c>
      <c r="K32" s="27"/>
      <c r="L32" s="27"/>
      <c r="M32" s="27"/>
      <c r="N32" s="27"/>
      <c r="O32" s="27"/>
      <c r="P32" s="27"/>
      <c r="Q32" s="26" t="s">
        <v>46</v>
      </c>
      <c r="S32" s="26" t="s">
        <v>44</v>
      </c>
      <c r="T32" s="27"/>
      <c r="U32" s="27"/>
      <c r="V32" s="27"/>
      <c r="W32" s="27"/>
      <c r="X32" s="27"/>
      <c r="Y32" s="26" t="s">
        <v>47</v>
      </c>
      <c r="Z32" s="27"/>
      <c r="AB32" s="26" t="s">
        <v>44</v>
      </c>
      <c r="AC32" s="27"/>
      <c r="AD32" s="27"/>
      <c r="AE32" s="27"/>
      <c r="AF32" s="27"/>
      <c r="AG32" s="27"/>
      <c r="AH32" s="27"/>
      <c r="AI32" s="26" t="s">
        <v>97</v>
      </c>
      <c r="AK32" s="26" t="s">
        <v>44</v>
      </c>
      <c r="AL32" s="27"/>
      <c r="AM32" s="27"/>
      <c r="AN32" s="27"/>
      <c r="AO32" s="27"/>
      <c r="AP32" s="27"/>
      <c r="AQ32" s="27"/>
      <c r="AR32" s="26" t="s">
        <v>98</v>
      </c>
      <c r="AT32" s="26" t="s">
        <v>44</v>
      </c>
      <c r="AU32" s="27"/>
      <c r="AV32" s="27"/>
      <c r="AW32" s="27"/>
      <c r="AX32" s="27"/>
      <c r="AY32" s="27"/>
      <c r="AZ32" s="27"/>
      <c r="BA32" s="26" t="s">
        <v>52</v>
      </c>
      <c r="BC32" s="26" t="s">
        <v>44</v>
      </c>
      <c r="BD32" s="27"/>
      <c r="BE32" s="27"/>
      <c r="BF32" s="27"/>
      <c r="BG32" s="27"/>
      <c r="BH32" s="27"/>
      <c r="BI32" s="27"/>
      <c r="BJ32" s="26" t="s">
        <v>48</v>
      </c>
    </row>
    <row r="33" spans="8:62" ht="12.75">
      <c r="H33" s="39" t="s">
        <v>19</v>
      </c>
      <c r="Q33" s="39" t="s">
        <v>19</v>
      </c>
      <c r="Z33" s="39" t="s">
        <v>19</v>
      </c>
      <c r="AI33" s="39" t="s">
        <v>19</v>
      </c>
      <c r="AR33" s="39" t="s">
        <v>19</v>
      </c>
      <c r="BA33" s="39" t="s">
        <v>19</v>
      </c>
      <c r="BJ33" s="39" t="s">
        <v>19</v>
      </c>
    </row>
    <row r="34" spans="1:62" ht="12.75">
      <c r="A34" s="17" t="s">
        <v>4</v>
      </c>
      <c r="B34" s="17" t="s">
        <v>0</v>
      </c>
      <c r="C34" s="17" t="s">
        <v>1</v>
      </c>
      <c r="D34" s="17" t="s">
        <v>2</v>
      </c>
      <c r="E34" s="17" t="s">
        <v>3</v>
      </c>
      <c r="F34" s="17" t="s">
        <v>117</v>
      </c>
      <c r="G34" s="17" t="s">
        <v>53</v>
      </c>
      <c r="H34" s="17" t="s">
        <v>111</v>
      </c>
      <c r="J34" s="17" t="s">
        <v>4</v>
      </c>
      <c r="K34" s="17" t="s">
        <v>0</v>
      </c>
      <c r="L34" s="17" t="s">
        <v>1</v>
      </c>
      <c r="M34" s="17" t="s">
        <v>2</v>
      </c>
      <c r="N34" s="17" t="s">
        <v>3</v>
      </c>
      <c r="O34" s="17" t="s">
        <v>117</v>
      </c>
      <c r="P34" s="17" t="s">
        <v>53</v>
      </c>
      <c r="Q34" s="17" t="s">
        <v>111</v>
      </c>
      <c r="S34" s="17" t="s">
        <v>4</v>
      </c>
      <c r="T34" s="17" t="s">
        <v>0</v>
      </c>
      <c r="U34" s="17" t="s">
        <v>1</v>
      </c>
      <c r="V34" s="17" t="s">
        <v>2</v>
      </c>
      <c r="W34" s="17" t="s">
        <v>3</v>
      </c>
      <c r="X34" s="17" t="s">
        <v>117</v>
      </c>
      <c r="Y34" s="17" t="s">
        <v>53</v>
      </c>
      <c r="Z34" s="17" t="s">
        <v>111</v>
      </c>
      <c r="AB34" s="17" t="s">
        <v>4</v>
      </c>
      <c r="AC34" s="17" t="s">
        <v>0</v>
      </c>
      <c r="AD34" s="17" t="s">
        <v>1</v>
      </c>
      <c r="AE34" s="17" t="s">
        <v>2</v>
      </c>
      <c r="AF34" s="17" t="s">
        <v>3</v>
      </c>
      <c r="AG34" s="17" t="s">
        <v>117</v>
      </c>
      <c r="AH34" s="17" t="s">
        <v>53</v>
      </c>
      <c r="AI34" s="17" t="s">
        <v>111</v>
      </c>
      <c r="AK34" s="17" t="s">
        <v>4</v>
      </c>
      <c r="AL34" s="17" t="s">
        <v>0</v>
      </c>
      <c r="AM34" s="17" t="s">
        <v>1</v>
      </c>
      <c r="AN34" s="17" t="s">
        <v>2</v>
      </c>
      <c r="AO34" s="17" t="s">
        <v>3</v>
      </c>
      <c r="AP34" s="17" t="s">
        <v>117</v>
      </c>
      <c r="AQ34" s="17" t="s">
        <v>53</v>
      </c>
      <c r="AR34" s="17" t="s">
        <v>111</v>
      </c>
      <c r="AT34" s="17" t="s">
        <v>4</v>
      </c>
      <c r="AU34" s="17" t="s">
        <v>0</v>
      </c>
      <c r="AV34" s="17" t="s">
        <v>1</v>
      </c>
      <c r="AW34" s="17" t="s">
        <v>2</v>
      </c>
      <c r="AX34" s="17" t="s">
        <v>3</v>
      </c>
      <c r="AY34" s="17" t="s">
        <v>117</v>
      </c>
      <c r="AZ34" s="17" t="s">
        <v>53</v>
      </c>
      <c r="BA34" s="17" t="s">
        <v>111</v>
      </c>
      <c r="BC34" s="17" t="s">
        <v>4</v>
      </c>
      <c r="BD34" s="17" t="s">
        <v>0</v>
      </c>
      <c r="BE34" s="17" t="s">
        <v>1</v>
      </c>
      <c r="BF34" s="17" t="s">
        <v>2</v>
      </c>
      <c r="BG34" s="17" t="s">
        <v>3</v>
      </c>
      <c r="BH34" s="17" t="s">
        <v>117</v>
      </c>
      <c r="BI34" s="17" t="s">
        <v>53</v>
      </c>
      <c r="BJ34" s="17" t="s">
        <v>111</v>
      </c>
    </row>
    <row r="35" spans="1:62" ht="12.75">
      <c r="A35" s="17"/>
      <c r="B35" s="17"/>
      <c r="C35" s="17"/>
      <c r="D35" s="17"/>
      <c r="E35" s="17"/>
      <c r="F35" s="17"/>
      <c r="G35" s="28" t="s">
        <v>117</v>
      </c>
      <c r="H35" s="28" t="s">
        <v>117</v>
      </c>
      <c r="J35" s="17"/>
      <c r="K35" s="17"/>
      <c r="L35" s="17"/>
      <c r="M35" s="17"/>
      <c r="N35" s="17"/>
      <c r="O35" s="17"/>
      <c r="P35" s="28" t="s">
        <v>117</v>
      </c>
      <c r="Q35" s="28" t="s">
        <v>117</v>
      </c>
      <c r="S35" s="17"/>
      <c r="T35" s="17"/>
      <c r="U35" s="17"/>
      <c r="V35" s="17"/>
      <c r="W35" s="17"/>
      <c r="X35" s="17"/>
      <c r="Y35" s="28" t="s">
        <v>117</v>
      </c>
      <c r="Z35" s="28" t="s">
        <v>117</v>
      </c>
      <c r="AB35" s="17"/>
      <c r="AC35" s="17"/>
      <c r="AD35" s="17"/>
      <c r="AE35" s="17"/>
      <c r="AF35" s="17"/>
      <c r="AG35" s="17"/>
      <c r="AH35" s="28" t="s">
        <v>117</v>
      </c>
      <c r="AI35" s="28" t="s">
        <v>117</v>
      </c>
      <c r="AK35" s="17"/>
      <c r="AL35" s="17"/>
      <c r="AM35" s="17"/>
      <c r="AN35" s="17"/>
      <c r="AO35" s="17"/>
      <c r="AP35" s="17"/>
      <c r="AQ35" s="28" t="s">
        <v>117</v>
      </c>
      <c r="AR35" s="28" t="s">
        <v>117</v>
      </c>
      <c r="AT35" s="17"/>
      <c r="AU35" s="17"/>
      <c r="AV35" s="17"/>
      <c r="AW35" s="17"/>
      <c r="AX35" s="17"/>
      <c r="AY35" s="17"/>
      <c r="AZ35" s="28" t="s">
        <v>117</v>
      </c>
      <c r="BA35" s="28" t="s">
        <v>117</v>
      </c>
      <c r="BC35" s="17"/>
      <c r="BD35" s="17"/>
      <c r="BE35" s="17"/>
      <c r="BF35" s="17"/>
      <c r="BG35" s="17"/>
      <c r="BH35" s="17"/>
      <c r="BI35" s="28" t="s">
        <v>117</v>
      </c>
      <c r="BJ35" s="28" t="s">
        <v>117</v>
      </c>
    </row>
    <row r="36" spans="1:62" ht="12.75">
      <c r="A36" s="2" t="s">
        <v>5</v>
      </c>
      <c r="B36" s="3">
        <v>159</v>
      </c>
      <c r="C36" s="3">
        <v>166</v>
      </c>
      <c r="D36" s="3">
        <v>170</v>
      </c>
      <c r="E36" s="4">
        <v>182</v>
      </c>
      <c r="F36" s="17">
        <v>185</v>
      </c>
      <c r="G36" s="7">
        <f>6746/26</f>
        <v>259.46153846153845</v>
      </c>
      <c r="H36" s="7">
        <f>(14039+35356+261+6746)/83</f>
        <v>679.5421686746988</v>
      </c>
      <c r="J36" s="3" t="s">
        <v>5</v>
      </c>
      <c r="K36" s="3">
        <v>428</v>
      </c>
      <c r="L36" s="3">
        <v>435</v>
      </c>
      <c r="M36" s="3">
        <v>455</v>
      </c>
      <c r="N36" s="4">
        <v>471</v>
      </c>
      <c r="O36" s="17">
        <v>482</v>
      </c>
      <c r="P36" s="7">
        <f>6746/26</f>
        <v>259.46153846153845</v>
      </c>
      <c r="Q36" s="7">
        <f>(14039+35356+261+6746)/83</f>
        <v>679.5421686746988</v>
      </c>
      <c r="S36" s="3" t="s">
        <v>5</v>
      </c>
      <c r="T36" s="3">
        <v>28</v>
      </c>
      <c r="U36" s="3">
        <v>28</v>
      </c>
      <c r="V36" s="3">
        <v>31</v>
      </c>
      <c r="W36" s="4">
        <v>31</v>
      </c>
      <c r="X36" s="17">
        <v>31</v>
      </c>
      <c r="Y36" s="7">
        <f>6746/26</f>
        <v>259.46153846153845</v>
      </c>
      <c r="Z36" s="7">
        <f>(14039+35356+261+6746)/83</f>
        <v>679.5421686746988</v>
      </c>
      <c r="AB36" s="3" t="s">
        <v>5</v>
      </c>
      <c r="AC36" s="3">
        <v>166</v>
      </c>
      <c r="AD36" s="3">
        <v>215</v>
      </c>
      <c r="AE36" s="3">
        <v>295</v>
      </c>
      <c r="AF36" s="4">
        <v>446</v>
      </c>
      <c r="AG36" s="17">
        <v>515</v>
      </c>
      <c r="AH36" s="7">
        <f>6746/26</f>
        <v>259.46153846153845</v>
      </c>
      <c r="AI36" s="7">
        <f>(14039+35356+261+6746)/83</f>
        <v>679.5421686746988</v>
      </c>
      <c r="AK36" s="3" t="s">
        <v>5</v>
      </c>
      <c r="AL36" s="3">
        <v>359</v>
      </c>
      <c r="AM36" s="3">
        <v>392</v>
      </c>
      <c r="AN36" s="3">
        <v>419</v>
      </c>
      <c r="AO36" s="4">
        <v>515</v>
      </c>
      <c r="AP36" s="17">
        <v>563</v>
      </c>
      <c r="AQ36" s="7">
        <f>6746/26</f>
        <v>259.46153846153845</v>
      </c>
      <c r="AR36" s="7">
        <f>(14039+35356+261+6746)/83</f>
        <v>679.5421686746988</v>
      </c>
      <c r="AT36" s="3" t="s">
        <v>5</v>
      </c>
      <c r="AU36" s="3">
        <v>41</v>
      </c>
      <c r="AV36" s="3">
        <v>54</v>
      </c>
      <c r="AW36" s="3">
        <v>62</v>
      </c>
      <c r="AX36" s="4">
        <v>127</v>
      </c>
      <c r="AY36" s="17">
        <v>146</v>
      </c>
      <c r="AZ36" s="7">
        <f>6746/26</f>
        <v>259.46153846153845</v>
      </c>
      <c r="BA36" s="7">
        <f>(14039+35356+261+6746)/83</f>
        <v>679.5421686746988</v>
      </c>
      <c r="BC36" s="3" t="s">
        <v>5</v>
      </c>
      <c r="BD36" s="3">
        <v>396</v>
      </c>
      <c r="BE36" s="3">
        <v>392</v>
      </c>
      <c r="BF36" s="3">
        <v>384</v>
      </c>
      <c r="BG36" s="4">
        <v>381</v>
      </c>
      <c r="BH36" s="17">
        <v>387</v>
      </c>
      <c r="BI36" s="7">
        <f>6746/26</f>
        <v>259.46153846153845</v>
      </c>
      <c r="BJ36" s="7">
        <f>(14039+35356+261+6746)/83</f>
        <v>679.5421686746988</v>
      </c>
    </row>
    <row r="37" spans="1:62" ht="12.75">
      <c r="A37" s="2" t="s">
        <v>6</v>
      </c>
      <c r="B37" s="3">
        <v>1269</v>
      </c>
      <c r="C37" s="3">
        <v>1305</v>
      </c>
      <c r="D37" s="3">
        <v>1325</v>
      </c>
      <c r="E37" s="4">
        <v>1313</v>
      </c>
      <c r="F37" s="17">
        <v>1385</v>
      </c>
      <c r="G37" s="7">
        <v>4189</v>
      </c>
      <c r="H37" s="7">
        <v>10458</v>
      </c>
      <c r="J37" s="3" t="s">
        <v>6</v>
      </c>
      <c r="K37" s="3">
        <v>6240</v>
      </c>
      <c r="L37" s="3">
        <v>6217</v>
      </c>
      <c r="M37" s="3">
        <v>6363</v>
      </c>
      <c r="N37" s="4">
        <v>6474</v>
      </c>
      <c r="O37" s="17">
        <v>6366</v>
      </c>
      <c r="P37" s="7">
        <v>4189</v>
      </c>
      <c r="Q37" s="7">
        <v>10458</v>
      </c>
      <c r="S37" s="3" t="s">
        <v>6</v>
      </c>
      <c r="T37" s="3">
        <v>235</v>
      </c>
      <c r="U37" s="3">
        <v>239</v>
      </c>
      <c r="V37" s="3">
        <v>250</v>
      </c>
      <c r="W37" s="4">
        <v>252</v>
      </c>
      <c r="X37" s="17"/>
      <c r="Y37" s="7">
        <v>4189</v>
      </c>
      <c r="Z37" s="7">
        <v>10458</v>
      </c>
      <c r="AB37" s="3" t="s">
        <v>6</v>
      </c>
      <c r="AC37" s="3">
        <v>3742</v>
      </c>
      <c r="AD37" s="3">
        <v>4791</v>
      </c>
      <c r="AE37" s="3">
        <v>5673</v>
      </c>
      <c r="AF37" s="4">
        <v>9030</v>
      </c>
      <c r="AG37" s="17">
        <v>14878</v>
      </c>
      <c r="AH37" s="7">
        <v>4189</v>
      </c>
      <c r="AI37" s="7">
        <v>10458</v>
      </c>
      <c r="AK37" s="3" t="s">
        <v>6</v>
      </c>
      <c r="AL37" s="3">
        <v>7726</v>
      </c>
      <c r="AM37" s="3">
        <v>11544</v>
      </c>
      <c r="AN37" s="3">
        <v>13609</v>
      </c>
      <c r="AO37" s="4">
        <v>18029</v>
      </c>
      <c r="AP37" s="17">
        <v>25479</v>
      </c>
      <c r="AQ37" s="7">
        <v>4189</v>
      </c>
      <c r="AR37" s="7">
        <v>10458</v>
      </c>
      <c r="AT37" s="3" t="s">
        <v>6</v>
      </c>
      <c r="AU37" s="3">
        <v>738</v>
      </c>
      <c r="AV37" s="3">
        <v>863</v>
      </c>
      <c r="AW37" s="3">
        <v>1693</v>
      </c>
      <c r="AX37" s="4">
        <v>2077</v>
      </c>
      <c r="AY37" s="17">
        <v>2365</v>
      </c>
      <c r="AZ37" s="7">
        <v>4189</v>
      </c>
      <c r="BA37" s="7">
        <v>10458</v>
      </c>
      <c r="BC37" s="3" t="s">
        <v>6</v>
      </c>
      <c r="BD37" s="3">
        <v>5385</v>
      </c>
      <c r="BE37" s="3">
        <v>4775</v>
      </c>
      <c r="BF37" s="3">
        <v>4768</v>
      </c>
      <c r="BG37" s="4">
        <v>4587</v>
      </c>
      <c r="BH37" s="17">
        <v>4892</v>
      </c>
      <c r="BI37" s="7">
        <v>4189</v>
      </c>
      <c r="BJ37" s="7">
        <v>10458</v>
      </c>
    </row>
    <row r="38" spans="1:62" ht="12.75">
      <c r="A38" s="48" t="s">
        <v>20</v>
      </c>
      <c r="B38" s="6">
        <v>199.24</v>
      </c>
      <c r="C38" s="6">
        <v>222.06</v>
      </c>
      <c r="D38" s="6">
        <v>248.63</v>
      </c>
      <c r="E38" s="5">
        <v>292.7</v>
      </c>
      <c r="F38" s="18">
        <v>311.71</v>
      </c>
      <c r="G38" s="5">
        <v>677.86</v>
      </c>
      <c r="H38" s="6">
        <v>423.74</v>
      </c>
      <c r="I38" s="6"/>
      <c r="J38" s="6" t="s">
        <v>20</v>
      </c>
      <c r="K38" s="6">
        <v>219</v>
      </c>
      <c r="L38" s="6">
        <v>270</v>
      </c>
      <c r="M38" s="6">
        <v>327</v>
      </c>
      <c r="N38" s="5">
        <v>366</v>
      </c>
      <c r="O38" s="18">
        <v>431</v>
      </c>
      <c r="P38" s="5">
        <v>677.86</v>
      </c>
      <c r="Q38" s="6">
        <v>423.74</v>
      </c>
      <c r="R38" s="6"/>
      <c r="S38" s="6" t="s">
        <v>20</v>
      </c>
      <c r="T38" s="6">
        <v>110.17</v>
      </c>
      <c r="U38" s="6">
        <v>126.52</v>
      </c>
      <c r="V38" s="6">
        <v>126.21</v>
      </c>
      <c r="W38" s="5">
        <v>124.28</v>
      </c>
      <c r="X38" s="18"/>
      <c r="Y38" s="5">
        <v>677.86</v>
      </c>
      <c r="Z38" s="6">
        <v>423.74</v>
      </c>
      <c r="AA38" s="6"/>
      <c r="AB38" s="6" t="s">
        <v>20</v>
      </c>
      <c r="AC38" s="6">
        <v>778</v>
      </c>
      <c r="AD38" s="6">
        <v>865</v>
      </c>
      <c r="AE38" s="6">
        <v>866</v>
      </c>
      <c r="AF38" s="5">
        <v>806</v>
      </c>
      <c r="AG38" s="18">
        <v>758</v>
      </c>
      <c r="AH38" s="5">
        <v>677.86</v>
      </c>
      <c r="AI38" s="6">
        <v>423.74</v>
      </c>
      <c r="AJ38" s="6"/>
      <c r="AK38" s="6" t="s">
        <v>20</v>
      </c>
      <c r="AL38" s="6">
        <v>486.49</v>
      </c>
      <c r="AM38" s="6">
        <v>1120</v>
      </c>
      <c r="AN38" s="6">
        <v>1010</v>
      </c>
      <c r="AO38" s="5">
        <v>880</v>
      </c>
      <c r="AP38" s="18">
        <v>905</v>
      </c>
      <c r="AQ38" s="5">
        <v>677.86</v>
      </c>
      <c r="AR38" s="6">
        <v>423.74</v>
      </c>
      <c r="AS38" s="6"/>
      <c r="AT38" s="6" t="s">
        <v>20</v>
      </c>
      <c r="AU38" s="6">
        <v>1587.91</v>
      </c>
      <c r="AV38" s="6">
        <v>1284.06</v>
      </c>
      <c r="AW38" s="6">
        <v>1079.95</v>
      </c>
      <c r="AX38" s="5">
        <v>925.78</v>
      </c>
      <c r="AY38" s="18">
        <v>880.18</v>
      </c>
      <c r="AZ38" s="5">
        <v>677.86</v>
      </c>
      <c r="BA38" s="6">
        <v>423.74</v>
      </c>
      <c r="BB38" s="6"/>
      <c r="BC38" s="6" t="s">
        <v>20</v>
      </c>
      <c r="BD38" s="6">
        <v>197.95</v>
      </c>
      <c r="BE38" s="6">
        <v>242</v>
      </c>
      <c r="BF38" s="6">
        <v>324.34</v>
      </c>
      <c r="BG38" s="5">
        <v>394.92</v>
      </c>
      <c r="BH38" s="18">
        <v>426</v>
      </c>
      <c r="BI38" s="5">
        <v>677.86</v>
      </c>
      <c r="BJ38" s="6">
        <v>423.74</v>
      </c>
    </row>
    <row r="39" spans="1:62" ht="12.75">
      <c r="A39" s="48" t="s">
        <v>56</v>
      </c>
      <c r="B39" s="6">
        <v>0.78</v>
      </c>
      <c r="C39" s="6">
        <v>1.15</v>
      </c>
      <c r="D39" s="5">
        <v>1.32</v>
      </c>
      <c r="E39" s="5">
        <v>-1.65</v>
      </c>
      <c r="F39" s="18">
        <v>0.72</v>
      </c>
      <c r="G39" s="5">
        <v>4.6</v>
      </c>
      <c r="H39" s="6">
        <v>2.84</v>
      </c>
      <c r="I39" s="6"/>
      <c r="J39" s="6" t="s">
        <v>56</v>
      </c>
      <c r="K39" s="6">
        <v>1.31</v>
      </c>
      <c r="L39" s="6">
        <v>1.69</v>
      </c>
      <c r="M39" s="5">
        <v>2.14</v>
      </c>
      <c r="N39" s="5">
        <v>1.39</v>
      </c>
      <c r="O39" s="18">
        <v>3.54</v>
      </c>
      <c r="P39" s="5">
        <v>4.6</v>
      </c>
      <c r="Q39" s="6">
        <v>2.84</v>
      </c>
      <c r="R39" s="6"/>
      <c r="S39" s="6" t="s">
        <v>56</v>
      </c>
      <c r="T39" s="6">
        <v>1.04</v>
      </c>
      <c r="U39" s="6">
        <v>1.39</v>
      </c>
      <c r="V39" s="5">
        <v>0.81</v>
      </c>
      <c r="W39" s="5">
        <v>0</v>
      </c>
      <c r="X39" s="18"/>
      <c r="Y39" s="5">
        <v>4.6</v>
      </c>
      <c r="Z39" s="6">
        <v>2.84</v>
      </c>
      <c r="AA39" s="6"/>
      <c r="AB39" s="6" t="s">
        <v>56</v>
      </c>
      <c r="AC39" s="6">
        <v>9.75</v>
      </c>
      <c r="AD39" s="6">
        <v>10.09</v>
      </c>
      <c r="AE39" s="5">
        <v>9.39</v>
      </c>
      <c r="AF39" s="5">
        <v>8.8</v>
      </c>
      <c r="AG39" s="18">
        <v>7.39</v>
      </c>
      <c r="AH39" s="5">
        <v>4.6</v>
      </c>
      <c r="AI39" s="6">
        <v>2.84</v>
      </c>
      <c r="AJ39" s="6"/>
      <c r="AK39" s="6" t="s">
        <v>56</v>
      </c>
      <c r="AL39" s="6">
        <v>5.33</v>
      </c>
      <c r="AM39" s="6">
        <v>11</v>
      </c>
      <c r="AN39" s="5">
        <v>12</v>
      </c>
      <c r="AO39" s="5">
        <v>11</v>
      </c>
      <c r="AP39" s="18">
        <v>10</v>
      </c>
      <c r="AQ39" s="5">
        <v>4.6</v>
      </c>
      <c r="AR39" s="6">
        <v>2.84</v>
      </c>
      <c r="AS39" s="6"/>
      <c r="AT39" s="6" t="s">
        <v>56</v>
      </c>
      <c r="AU39" s="6">
        <v>6.88</v>
      </c>
      <c r="AV39" s="6">
        <v>9.5</v>
      </c>
      <c r="AW39" s="5">
        <v>14.98</v>
      </c>
      <c r="AX39" s="5">
        <v>10.12</v>
      </c>
      <c r="AY39" s="18">
        <v>1.56</v>
      </c>
      <c r="AZ39" s="5">
        <v>4.6</v>
      </c>
      <c r="BA39" s="6">
        <v>2.84</v>
      </c>
      <c r="BB39" s="6"/>
      <c r="BC39" s="6" t="s">
        <v>56</v>
      </c>
      <c r="BD39" s="5">
        <v>1.22</v>
      </c>
      <c r="BE39" s="6">
        <v>1.69</v>
      </c>
      <c r="BF39" s="5">
        <v>1.15</v>
      </c>
      <c r="BG39" s="5">
        <v>-0.73</v>
      </c>
      <c r="BH39" s="18">
        <v>0.17</v>
      </c>
      <c r="BI39" s="5">
        <v>4.6</v>
      </c>
      <c r="BJ39" s="6">
        <v>2.84</v>
      </c>
    </row>
    <row r="40" spans="1:62" ht="12.75">
      <c r="A40" s="2"/>
      <c r="B40" s="3"/>
      <c r="C40" s="3"/>
      <c r="D40" s="3"/>
      <c r="E40" s="4"/>
      <c r="F40" s="17"/>
      <c r="G40" s="3"/>
      <c r="J40" s="3"/>
      <c r="K40" s="3"/>
      <c r="L40" s="3"/>
      <c r="M40" s="3"/>
      <c r="N40" s="4"/>
      <c r="O40" s="17"/>
      <c r="P40" s="3"/>
      <c r="Q40" s="3"/>
      <c r="S40" s="3"/>
      <c r="T40" s="3"/>
      <c r="U40" s="3"/>
      <c r="V40" s="3"/>
      <c r="W40" s="4"/>
      <c r="X40" s="17"/>
      <c r="Y40" s="3"/>
      <c r="Z40" s="3"/>
      <c r="AB40" s="3"/>
      <c r="AC40" s="3"/>
      <c r="AD40" s="3"/>
      <c r="AE40" s="3"/>
      <c r="AF40" s="4"/>
      <c r="AG40" s="17"/>
      <c r="AH40" s="3"/>
      <c r="AI40" s="3"/>
      <c r="AK40" s="3"/>
      <c r="AL40" s="3"/>
      <c r="AM40" s="3"/>
      <c r="AN40" s="3"/>
      <c r="AO40" s="4"/>
      <c r="AP40" s="17"/>
      <c r="AQ40" s="3"/>
      <c r="AR40" s="3"/>
      <c r="AT40" s="3"/>
      <c r="AU40" s="3"/>
      <c r="AV40" s="3"/>
      <c r="AW40" s="3"/>
      <c r="AX40" s="4"/>
      <c r="AY40" s="17"/>
      <c r="AZ40" s="3"/>
      <c r="BA40" s="3"/>
      <c r="BC40" s="3"/>
      <c r="BD40" s="3"/>
      <c r="BE40" s="3"/>
      <c r="BF40" s="3"/>
      <c r="BG40" s="4"/>
      <c r="BH40" s="17"/>
      <c r="BI40" s="3"/>
      <c r="BJ40" s="3"/>
    </row>
    <row r="41" spans="1:62" ht="12.75">
      <c r="A41" s="2" t="s">
        <v>119</v>
      </c>
      <c r="B41" s="3">
        <f>41+71</f>
        <v>112</v>
      </c>
      <c r="C41" s="3">
        <f>32+88</f>
        <v>120</v>
      </c>
      <c r="D41" s="3">
        <f>32+102</f>
        <v>134</v>
      </c>
      <c r="E41" s="4">
        <f>32+82</f>
        <v>114</v>
      </c>
      <c r="F41" s="17">
        <v>134</v>
      </c>
      <c r="G41" s="7">
        <f>(3910+39819)/26</f>
        <v>1681.8846153846155</v>
      </c>
      <c r="H41" s="7">
        <f>(25180+157847)/83</f>
        <v>2205.144578313253</v>
      </c>
      <c r="J41" s="3" t="s">
        <v>119</v>
      </c>
      <c r="K41" s="3">
        <f>22+427</f>
        <v>449</v>
      </c>
      <c r="L41" s="3">
        <f>22+508</f>
        <v>530</v>
      </c>
      <c r="M41" s="3">
        <f>22+627</f>
        <v>649</v>
      </c>
      <c r="N41" s="4">
        <v>723</v>
      </c>
      <c r="O41" s="17">
        <v>1250</v>
      </c>
      <c r="P41" s="7">
        <f>(3910+39819)/26</f>
        <v>1681.8846153846155</v>
      </c>
      <c r="Q41" s="7">
        <f>(25180+157847)/83</f>
        <v>2205.144578313253</v>
      </c>
      <c r="S41" s="3" t="s">
        <v>119</v>
      </c>
      <c r="T41" s="3">
        <f>2+7</f>
        <v>9</v>
      </c>
      <c r="U41" s="3">
        <f>2+9</f>
        <v>11</v>
      </c>
      <c r="V41" s="3">
        <f>2+9</f>
        <v>11</v>
      </c>
      <c r="W41" s="4">
        <f>2+9</f>
        <v>11</v>
      </c>
      <c r="X41" s="17"/>
      <c r="Y41" s="7">
        <f>(3910+39819)/26</f>
        <v>1681.8846153846155</v>
      </c>
      <c r="Z41" s="7">
        <f>(25180+157847)/83</f>
        <v>2205.144578313253</v>
      </c>
      <c r="AB41" s="3" t="s">
        <v>119</v>
      </c>
      <c r="AC41" s="3">
        <f>281+1661</f>
        <v>1942</v>
      </c>
      <c r="AD41" s="3">
        <f>282+1970</f>
        <v>2252</v>
      </c>
      <c r="AE41" s="3">
        <f>285+2409</f>
        <v>2694</v>
      </c>
      <c r="AF41" s="4">
        <f>310+4210</f>
        <v>4520</v>
      </c>
      <c r="AG41" s="17">
        <v>5300</v>
      </c>
      <c r="AH41" s="7">
        <f>(3910+39819)/26</f>
        <v>1681.8846153846155</v>
      </c>
      <c r="AI41" s="7">
        <f>(25180+157847)/83</f>
        <v>2205.144578313253</v>
      </c>
      <c r="AK41" s="3" t="s">
        <v>119</v>
      </c>
      <c r="AL41" s="3">
        <f>963+5636</f>
        <v>6599</v>
      </c>
      <c r="AM41" s="3">
        <f>963+6321</f>
        <v>7284</v>
      </c>
      <c r="AN41" s="3">
        <f>966+7394</f>
        <v>8360</v>
      </c>
      <c r="AO41" s="4">
        <f>1087+11813</f>
        <v>12900</v>
      </c>
      <c r="AP41" s="17">
        <v>22556</v>
      </c>
      <c r="AQ41" s="7">
        <f>(3910+39819)/26</f>
        <v>1681.8846153846155</v>
      </c>
      <c r="AR41" s="7">
        <f>(25180+157847)/83</f>
        <v>2205.144578313253</v>
      </c>
      <c r="AT41" s="3" t="s">
        <v>119</v>
      </c>
      <c r="AU41" s="3">
        <f>159+403</f>
        <v>562</v>
      </c>
      <c r="AV41" s="3">
        <f>219+383</f>
        <v>602</v>
      </c>
      <c r="AW41" s="3">
        <f>290+510</f>
        <v>800</v>
      </c>
      <c r="AX41" s="4">
        <f>291+539</f>
        <v>830</v>
      </c>
      <c r="AY41" s="17">
        <v>866</v>
      </c>
      <c r="AZ41" s="7">
        <f>(3910+39819)/26</f>
        <v>1681.8846153846155</v>
      </c>
      <c r="BA41" s="7">
        <f>(25180+157847)/83</f>
        <v>2205.144578313253</v>
      </c>
      <c r="BC41" s="3" t="s">
        <v>119</v>
      </c>
      <c r="BD41" s="3">
        <f>23+664</f>
        <v>687</v>
      </c>
      <c r="BE41" s="3">
        <f>23+684</f>
        <v>707</v>
      </c>
      <c r="BF41" s="3">
        <f>23+725</f>
        <v>748</v>
      </c>
      <c r="BG41" s="4">
        <v>842</v>
      </c>
      <c r="BH41" s="17">
        <v>1020</v>
      </c>
      <c r="BI41" s="7">
        <f>(3910+39819)/26</f>
        <v>1681.8846153846155</v>
      </c>
      <c r="BJ41" s="7">
        <f>(25180+157847)/83</f>
        <v>2205.144578313253</v>
      </c>
    </row>
    <row r="42" spans="1:62" ht="12.75">
      <c r="A42" s="2" t="s">
        <v>7</v>
      </c>
      <c r="B42" s="3">
        <v>1657</v>
      </c>
      <c r="C42" s="3">
        <v>1838</v>
      </c>
      <c r="D42" s="4">
        <v>2156</v>
      </c>
      <c r="E42" s="4">
        <v>2339</v>
      </c>
      <c r="F42" s="17">
        <v>2533</v>
      </c>
      <c r="G42" s="7">
        <f>426247/26</f>
        <v>16394.115384615383</v>
      </c>
      <c r="H42" s="7">
        <f>2162472/83</f>
        <v>26053.87951807229</v>
      </c>
      <c r="J42" s="3" t="s">
        <v>7</v>
      </c>
      <c r="K42" s="3">
        <v>8865</v>
      </c>
      <c r="L42" s="3">
        <v>10947</v>
      </c>
      <c r="M42" s="4">
        <v>13477</v>
      </c>
      <c r="N42" s="4">
        <v>15193</v>
      </c>
      <c r="O42" s="17">
        <v>17879</v>
      </c>
      <c r="P42" s="7">
        <f>426247/26</f>
        <v>16394.115384615383</v>
      </c>
      <c r="Q42" s="7">
        <f>2162472/83</f>
        <v>26053.87951807229</v>
      </c>
      <c r="S42" s="3" t="s">
        <v>7</v>
      </c>
      <c r="T42" s="3">
        <v>178</v>
      </c>
      <c r="U42" s="3">
        <v>188</v>
      </c>
      <c r="V42" s="4">
        <v>208</v>
      </c>
      <c r="W42" s="4">
        <v>217</v>
      </c>
      <c r="X42" s="17"/>
      <c r="Y42" s="7">
        <f>426247/26</f>
        <v>16394.115384615383</v>
      </c>
      <c r="Z42" s="7">
        <f>2162472/83</f>
        <v>26053.87951807229</v>
      </c>
      <c r="AB42" s="3" t="s">
        <v>7</v>
      </c>
      <c r="AC42" s="3">
        <v>17654</v>
      </c>
      <c r="AD42" s="3">
        <v>22376</v>
      </c>
      <c r="AE42" s="4">
        <v>30409</v>
      </c>
      <c r="AF42" s="4">
        <v>36354</v>
      </c>
      <c r="AG42" s="17">
        <v>55797</v>
      </c>
      <c r="AH42" s="7">
        <f>426247/26</f>
        <v>16394.115384615383</v>
      </c>
      <c r="AI42" s="7">
        <f>2162472/83</f>
        <v>26053.87951807229</v>
      </c>
      <c r="AK42" s="3" t="s">
        <v>7</v>
      </c>
      <c r="AL42" s="3">
        <v>32085</v>
      </c>
      <c r="AM42" s="3">
        <v>48169</v>
      </c>
      <c r="AN42" s="4">
        <v>68109</v>
      </c>
      <c r="AO42" s="4">
        <v>99819</v>
      </c>
      <c r="AP42" s="17">
        <v>165083</v>
      </c>
      <c r="AQ42" s="7">
        <f>426247/26</f>
        <v>16394.115384615383</v>
      </c>
      <c r="AR42" s="7">
        <f>2162472/83</f>
        <v>26053.87951807229</v>
      </c>
      <c r="AT42" s="3" t="s">
        <v>7</v>
      </c>
      <c r="AU42" s="3">
        <v>8400</v>
      </c>
      <c r="AV42" s="3">
        <v>8598</v>
      </c>
      <c r="AW42" s="4">
        <v>11200</v>
      </c>
      <c r="AX42" s="4">
        <v>13114</v>
      </c>
      <c r="AY42" s="17">
        <v>15006</v>
      </c>
      <c r="AZ42" s="7">
        <f>426247/26</f>
        <v>16394.115384615383</v>
      </c>
      <c r="BA42" s="7">
        <f>2162472/83</f>
        <v>26053.87951807229</v>
      </c>
      <c r="BC42" s="3" t="s">
        <v>7</v>
      </c>
      <c r="BD42" s="4">
        <v>8068</v>
      </c>
      <c r="BE42" s="3">
        <v>9187</v>
      </c>
      <c r="BF42" s="4">
        <v>10478</v>
      </c>
      <c r="BG42" s="4">
        <v>12569</v>
      </c>
      <c r="BH42" s="17">
        <v>13335</v>
      </c>
      <c r="BI42" s="7">
        <f>426247/26</f>
        <v>16394.115384615383</v>
      </c>
      <c r="BJ42" s="7">
        <f>2162472/83</f>
        <v>26053.87951807229</v>
      </c>
    </row>
    <row r="43" spans="1:62" ht="12.75">
      <c r="A43" s="2" t="s">
        <v>8</v>
      </c>
      <c r="B43" s="3">
        <v>651</v>
      </c>
      <c r="C43" s="4">
        <v>675</v>
      </c>
      <c r="D43" s="4">
        <v>895</v>
      </c>
      <c r="E43" s="4">
        <v>708</v>
      </c>
      <c r="F43" s="17">
        <v>710</v>
      </c>
      <c r="G43" s="7">
        <f>179662/26</f>
        <v>6910.076923076923</v>
      </c>
      <c r="H43" s="7">
        <f>866961/83</f>
        <v>10445.313253012047</v>
      </c>
      <c r="J43" s="3" t="s">
        <v>8</v>
      </c>
      <c r="K43" s="3">
        <v>3756</v>
      </c>
      <c r="L43" s="4">
        <v>4552</v>
      </c>
      <c r="M43" s="4">
        <v>5521</v>
      </c>
      <c r="N43" s="4">
        <v>5799</v>
      </c>
      <c r="O43" s="17">
        <v>6272</v>
      </c>
      <c r="P43" s="7">
        <f>179662/26</f>
        <v>6910.076923076923</v>
      </c>
      <c r="Q43" s="7">
        <f>866961/83</f>
        <v>10445.313253012047</v>
      </c>
      <c r="S43" s="3" t="s">
        <v>8</v>
      </c>
      <c r="T43" s="3">
        <v>41</v>
      </c>
      <c r="U43" s="4">
        <v>49</v>
      </c>
      <c r="V43" s="4">
        <v>78</v>
      </c>
      <c r="W43" s="4">
        <v>82</v>
      </c>
      <c r="X43" s="17"/>
      <c r="Y43" s="7">
        <f>179662/26</f>
        <v>6910.076923076923</v>
      </c>
      <c r="Z43" s="7">
        <f>866961/83</f>
        <v>10445.313253012047</v>
      </c>
      <c r="AB43" s="3" t="s">
        <v>8</v>
      </c>
      <c r="AC43" s="3">
        <v>12004</v>
      </c>
      <c r="AD43" s="4">
        <v>13388</v>
      </c>
      <c r="AE43" s="4">
        <v>19363</v>
      </c>
      <c r="AF43" s="4">
        <v>19350</v>
      </c>
      <c r="AG43" s="17">
        <v>28394</v>
      </c>
      <c r="AH43" s="7">
        <f>179662/26</f>
        <v>6910.076923076923</v>
      </c>
      <c r="AI43" s="7">
        <f>866961/83</f>
        <v>10445.313253012047</v>
      </c>
      <c r="AK43" s="3" t="s">
        <v>8</v>
      </c>
      <c r="AL43" s="3">
        <v>35891</v>
      </c>
      <c r="AM43" s="4">
        <v>35462</v>
      </c>
      <c r="AN43" s="4">
        <v>43436</v>
      </c>
      <c r="AO43" s="4">
        <v>50487</v>
      </c>
      <c r="AP43" s="17">
        <v>71547</v>
      </c>
      <c r="AQ43" s="7">
        <f>179662/26</f>
        <v>6910.076923076923</v>
      </c>
      <c r="AR43" s="7">
        <f>866961/83</f>
        <v>10445.313253012047</v>
      </c>
      <c r="AT43" s="3" t="s">
        <v>8</v>
      </c>
      <c r="AU43" s="3">
        <v>2485</v>
      </c>
      <c r="AV43" s="4">
        <v>2535</v>
      </c>
      <c r="AW43" s="4">
        <v>4483</v>
      </c>
      <c r="AX43" s="4">
        <v>4069</v>
      </c>
      <c r="AY43" s="17">
        <v>5410</v>
      </c>
      <c r="AZ43" s="7">
        <f>179662/26</f>
        <v>6910.076923076923</v>
      </c>
      <c r="BA43" s="7">
        <f>866961/83</f>
        <v>10445.313253012047</v>
      </c>
      <c r="BC43" s="3" t="s">
        <v>8</v>
      </c>
      <c r="BD43" s="4">
        <v>3597</v>
      </c>
      <c r="BE43" s="4">
        <v>3641</v>
      </c>
      <c r="BF43" s="4">
        <v>4085</v>
      </c>
      <c r="BG43" s="4">
        <v>4196</v>
      </c>
      <c r="BH43" s="17">
        <v>4372</v>
      </c>
      <c r="BI43" s="7">
        <f>179662/26</f>
        <v>6910.076923076923</v>
      </c>
      <c r="BJ43" s="7">
        <f>866961/83</f>
        <v>10445.313253012047</v>
      </c>
    </row>
    <row r="44" spans="1:62" ht="12.75">
      <c r="A44" s="2" t="s">
        <v>9</v>
      </c>
      <c r="B44" s="3">
        <v>918</v>
      </c>
      <c r="C44" s="4">
        <v>1080</v>
      </c>
      <c r="D44" s="4">
        <v>1139</v>
      </c>
      <c r="E44" s="4">
        <v>1410</v>
      </c>
      <c r="F44" s="17">
        <v>1594</v>
      </c>
      <c r="G44" s="7">
        <f>311986/26</f>
        <v>11999.461538461539</v>
      </c>
      <c r="H44" s="7">
        <f>1515667/83</f>
        <v>18261.048192771083</v>
      </c>
      <c r="J44" s="3" t="s">
        <v>9</v>
      </c>
      <c r="K44" s="3">
        <v>5189</v>
      </c>
      <c r="L44" s="4">
        <v>6218</v>
      </c>
      <c r="M44" s="4">
        <v>7701</v>
      </c>
      <c r="N44" s="4">
        <v>8823</v>
      </c>
      <c r="O44" s="17">
        <v>11736</v>
      </c>
      <c r="P44" s="7">
        <f>311986/26</f>
        <v>11999.461538461539</v>
      </c>
      <c r="Q44" s="7">
        <f>1515667/83</f>
        <v>18261.048192771083</v>
      </c>
      <c r="S44" s="3" t="s">
        <v>9</v>
      </c>
      <c r="T44" s="3">
        <v>89</v>
      </c>
      <c r="U44" s="4">
        <v>98</v>
      </c>
      <c r="V44" s="4">
        <v>97</v>
      </c>
      <c r="W44" s="4">
        <v>95</v>
      </c>
      <c r="X44" s="17"/>
      <c r="Y44" s="7">
        <f>311986/26</f>
        <v>11999.461538461539</v>
      </c>
      <c r="Z44" s="7">
        <f>1515667/83</f>
        <v>18261.048192771083</v>
      </c>
      <c r="AB44" s="3" t="s">
        <v>9</v>
      </c>
      <c r="AC44" s="3">
        <v>6814</v>
      </c>
      <c r="AD44" s="4">
        <v>11755</v>
      </c>
      <c r="AE44" s="4">
        <v>17745</v>
      </c>
      <c r="AF44" s="4">
        <v>25566</v>
      </c>
      <c r="AG44" s="17">
        <v>35061</v>
      </c>
      <c r="AH44" s="7">
        <f>311986/26</f>
        <v>11999.461538461539</v>
      </c>
      <c r="AI44" s="7">
        <f>1515667/83</f>
        <v>18261.048192771083</v>
      </c>
      <c r="AK44" s="3" t="s">
        <v>9</v>
      </c>
      <c r="AL44" s="3">
        <v>47035</v>
      </c>
      <c r="AM44" s="4">
        <v>53279</v>
      </c>
      <c r="AN44" s="4">
        <v>62648</v>
      </c>
      <c r="AO44" s="4">
        <v>91405</v>
      </c>
      <c r="AP44" s="17">
        <v>146163</v>
      </c>
      <c r="AQ44" s="7">
        <f>311986/26</f>
        <v>11999.461538461539</v>
      </c>
      <c r="AR44" s="7">
        <f>1515667/83</f>
        <v>18261.048192771083</v>
      </c>
      <c r="AT44" s="3" t="s">
        <v>9</v>
      </c>
      <c r="AU44" s="3">
        <v>5574</v>
      </c>
      <c r="AV44" s="4">
        <v>5348</v>
      </c>
      <c r="AW44" s="4">
        <v>7301</v>
      </c>
      <c r="AX44" s="4">
        <v>9000</v>
      </c>
      <c r="AY44" s="17">
        <v>9310</v>
      </c>
      <c r="AZ44" s="7">
        <f>311986/26</f>
        <v>11999.461538461539</v>
      </c>
      <c r="BA44" s="7">
        <f>1515667/83</f>
        <v>18261.048192771083</v>
      </c>
      <c r="BC44" s="3" t="s">
        <v>9</v>
      </c>
      <c r="BD44" s="4">
        <v>4418</v>
      </c>
      <c r="BE44" s="4">
        <v>5612</v>
      </c>
      <c r="BF44" s="4">
        <v>6937</v>
      </c>
      <c r="BG44" s="4">
        <v>9081</v>
      </c>
      <c r="BH44" s="17">
        <v>10232</v>
      </c>
      <c r="BI44" s="7">
        <f>311986/26</f>
        <v>11999.461538461539</v>
      </c>
      <c r="BJ44" s="7">
        <f>1515667/83</f>
        <v>18261.048192771083</v>
      </c>
    </row>
    <row r="45" spans="1:62" ht="12.75">
      <c r="A45" s="2"/>
      <c r="B45" s="3"/>
      <c r="C45" s="3"/>
      <c r="D45" s="3"/>
      <c r="E45" s="4"/>
      <c r="F45" s="17"/>
      <c r="G45" s="7"/>
      <c r="H45" s="7"/>
      <c r="J45" s="3"/>
      <c r="K45" s="3"/>
      <c r="L45" s="3"/>
      <c r="M45" s="3"/>
      <c r="N45" s="4"/>
      <c r="O45" s="17"/>
      <c r="P45" s="7"/>
      <c r="Q45" s="7"/>
      <c r="S45" s="3"/>
      <c r="T45" s="3"/>
      <c r="U45" s="3"/>
      <c r="V45" s="3"/>
      <c r="W45" s="4"/>
      <c r="X45" s="17"/>
      <c r="Y45" s="7"/>
      <c r="Z45" s="7"/>
      <c r="AB45" s="3"/>
      <c r="AC45" s="3"/>
      <c r="AD45" s="3"/>
      <c r="AE45" s="3"/>
      <c r="AF45" s="4"/>
      <c r="AG45" s="17"/>
      <c r="AH45" s="7"/>
      <c r="AI45" s="7"/>
      <c r="AK45" s="3"/>
      <c r="AL45" s="3"/>
      <c r="AM45" s="3"/>
      <c r="AN45" s="3"/>
      <c r="AO45" s="4"/>
      <c r="AP45" s="17"/>
      <c r="AQ45" s="7"/>
      <c r="AR45" s="7"/>
      <c r="AT45" s="3"/>
      <c r="AU45" s="3"/>
      <c r="AV45" s="3"/>
      <c r="AW45" s="3"/>
      <c r="AX45" s="4"/>
      <c r="AY45" s="17"/>
      <c r="AZ45" s="7"/>
      <c r="BA45" s="7"/>
      <c r="BC45" s="3"/>
      <c r="BD45" s="3"/>
      <c r="BE45" s="3"/>
      <c r="BF45" s="3"/>
      <c r="BG45" s="4"/>
      <c r="BH45" s="17"/>
      <c r="BI45" s="7"/>
      <c r="BJ45" s="7"/>
    </row>
    <row r="46" spans="1:62" ht="12.75">
      <c r="A46" s="2" t="s">
        <v>10</v>
      </c>
      <c r="B46" s="4">
        <v>181</v>
      </c>
      <c r="C46" s="4">
        <v>189</v>
      </c>
      <c r="D46" s="4">
        <v>191</v>
      </c>
      <c r="E46" s="4">
        <v>192</v>
      </c>
      <c r="F46" s="17">
        <v>210</v>
      </c>
      <c r="G46" s="7">
        <f>34530/26</f>
        <v>1328.076923076923</v>
      </c>
      <c r="H46" s="7">
        <f>184377/83</f>
        <v>2221.409638554217</v>
      </c>
      <c r="J46" s="3" t="s">
        <v>10</v>
      </c>
      <c r="K46" s="4">
        <v>1042</v>
      </c>
      <c r="L46" s="4">
        <v>1111</v>
      </c>
      <c r="M46" s="4">
        <v>1192</v>
      </c>
      <c r="N46" s="4">
        <v>1191</v>
      </c>
      <c r="O46" s="17">
        <v>1437</v>
      </c>
      <c r="P46" s="7">
        <f>34530/26</f>
        <v>1328.076923076923</v>
      </c>
      <c r="Q46" s="7">
        <f>184377/83</f>
        <v>2221.409638554217</v>
      </c>
      <c r="S46" s="3" t="s">
        <v>10</v>
      </c>
      <c r="T46" s="4">
        <v>19</v>
      </c>
      <c r="U46" s="4">
        <v>19</v>
      </c>
      <c r="V46" s="4">
        <v>18</v>
      </c>
      <c r="W46" s="4">
        <v>18</v>
      </c>
      <c r="X46" s="17"/>
      <c r="Y46" s="7">
        <f>34530/26</f>
        <v>1328.076923076923</v>
      </c>
      <c r="Z46" s="7">
        <f>184377/83</f>
        <v>2221.409638554217</v>
      </c>
      <c r="AB46" s="3" t="s">
        <v>10</v>
      </c>
      <c r="AC46" s="4">
        <v>1703</v>
      </c>
      <c r="AD46" s="4">
        <v>2014</v>
      </c>
      <c r="AE46" s="4">
        <v>2549</v>
      </c>
      <c r="AF46" s="4">
        <v>3093</v>
      </c>
      <c r="AG46" s="17">
        <v>4475</v>
      </c>
      <c r="AH46" s="7">
        <f>34530/26</f>
        <v>1328.076923076923</v>
      </c>
      <c r="AI46" s="7">
        <f>184377/83</f>
        <v>2221.409638554217</v>
      </c>
      <c r="AK46" s="3" t="s">
        <v>10</v>
      </c>
      <c r="AL46" s="4">
        <v>2152</v>
      </c>
      <c r="AM46" s="4">
        <v>9368</v>
      </c>
      <c r="AN46" s="4">
        <v>9002</v>
      </c>
      <c r="AO46" s="4">
        <v>9410</v>
      </c>
      <c r="AP46" s="17">
        <v>13784</v>
      </c>
      <c r="AQ46" s="7">
        <f>34530/26</f>
        <v>1328.076923076923</v>
      </c>
      <c r="AR46" s="7">
        <f>184377/83</f>
        <v>2221.409638554217</v>
      </c>
      <c r="AT46" s="3" t="s">
        <v>10</v>
      </c>
      <c r="AU46" s="4">
        <v>710</v>
      </c>
      <c r="AV46" s="4">
        <v>743</v>
      </c>
      <c r="AW46" s="4">
        <v>986</v>
      </c>
      <c r="AX46" s="4">
        <v>1134</v>
      </c>
      <c r="AY46" s="17">
        <v>1188</v>
      </c>
      <c r="AZ46" s="7">
        <f>34530/26</f>
        <v>1328.076923076923</v>
      </c>
      <c r="BA46" s="7">
        <f>184377/83</f>
        <v>2221.409638554217</v>
      </c>
      <c r="BC46" s="3" t="s">
        <v>10</v>
      </c>
      <c r="BD46" s="4">
        <v>923</v>
      </c>
      <c r="BE46" s="4">
        <v>905</v>
      </c>
      <c r="BF46" s="4">
        <v>924</v>
      </c>
      <c r="BG46" s="4">
        <v>991</v>
      </c>
      <c r="BH46" s="17">
        <v>1222</v>
      </c>
      <c r="BI46" s="7">
        <f>34530/26</f>
        <v>1328.076923076923</v>
      </c>
      <c r="BJ46" s="7">
        <f>184377/83</f>
        <v>2221.409638554217</v>
      </c>
    </row>
    <row r="47" spans="1:62" ht="12.75">
      <c r="A47" s="2" t="s">
        <v>11</v>
      </c>
      <c r="B47" s="4">
        <v>59</v>
      </c>
      <c r="C47" s="4">
        <v>70</v>
      </c>
      <c r="D47" s="4">
        <v>58</v>
      </c>
      <c r="E47" s="4">
        <v>15</v>
      </c>
      <c r="F47" s="17">
        <v>27</v>
      </c>
      <c r="G47" s="7">
        <f>9160/26</f>
        <v>352.3076923076923</v>
      </c>
      <c r="H47" s="7">
        <f>37693/83</f>
        <v>454.13253012048193</v>
      </c>
      <c r="J47" s="3" t="s">
        <v>11</v>
      </c>
      <c r="K47" s="4">
        <v>220</v>
      </c>
      <c r="L47" s="4">
        <v>234</v>
      </c>
      <c r="M47" s="4">
        <v>298</v>
      </c>
      <c r="N47" s="4">
        <v>212</v>
      </c>
      <c r="O47" s="17">
        <v>217</v>
      </c>
      <c r="P47" s="7">
        <f>9160/26</f>
        <v>352.3076923076923</v>
      </c>
      <c r="Q47" s="7">
        <f>37693/83</f>
        <v>454.13253012048193</v>
      </c>
      <c r="S47" s="3" t="s">
        <v>11</v>
      </c>
      <c r="T47" s="4">
        <v>3</v>
      </c>
      <c r="U47" s="4">
        <v>5</v>
      </c>
      <c r="V47" s="4">
        <v>4</v>
      </c>
      <c r="W47" s="4">
        <v>-1</v>
      </c>
      <c r="X47" s="17"/>
      <c r="Y47" s="7">
        <f>9160/26</f>
        <v>352.3076923076923</v>
      </c>
      <c r="Z47" s="7">
        <f>37693/83</f>
        <v>454.13253012048193</v>
      </c>
      <c r="AB47" s="3" t="s">
        <v>11</v>
      </c>
      <c r="AC47" s="4">
        <v>333</v>
      </c>
      <c r="AD47" s="4">
        <v>466</v>
      </c>
      <c r="AE47" s="4">
        <v>480</v>
      </c>
      <c r="AF47" s="4">
        <v>651</v>
      </c>
      <c r="AG47" s="17">
        <v>1123</v>
      </c>
      <c r="AH47" s="7">
        <f>9160/26</f>
        <v>352.3076923076923</v>
      </c>
      <c r="AI47" s="7">
        <f>37693/83</f>
        <v>454.13253012048193</v>
      </c>
      <c r="AK47" s="3" t="s">
        <v>11</v>
      </c>
      <c r="AL47" s="4">
        <v>575</v>
      </c>
      <c r="AM47" s="4">
        <v>3159</v>
      </c>
      <c r="AN47" s="4">
        <v>3065</v>
      </c>
      <c r="AO47" s="4">
        <v>3416</v>
      </c>
      <c r="AP47" s="17">
        <v>4983</v>
      </c>
      <c r="AQ47" s="7">
        <f>9160/26</f>
        <v>352.3076923076923</v>
      </c>
      <c r="AR47" s="7">
        <f>37693/83</f>
        <v>454.13253012048193</v>
      </c>
      <c r="AT47" s="3" t="s">
        <v>11</v>
      </c>
      <c r="AU47" s="4">
        <v>184</v>
      </c>
      <c r="AV47" s="4">
        <v>258</v>
      </c>
      <c r="AW47" s="4">
        <v>345</v>
      </c>
      <c r="AX47" s="4">
        <v>251</v>
      </c>
      <c r="AY47" s="17">
        <v>226</v>
      </c>
      <c r="AZ47" s="7">
        <f>9160/26</f>
        <v>352.3076923076923</v>
      </c>
      <c r="BA47" s="7">
        <f>37693/83</f>
        <v>454.13253012048193</v>
      </c>
      <c r="BC47" s="3" t="s">
        <v>11</v>
      </c>
      <c r="BD47" s="4">
        <v>281</v>
      </c>
      <c r="BE47" s="4">
        <v>358</v>
      </c>
      <c r="BF47" s="4">
        <v>363</v>
      </c>
      <c r="BG47" s="4">
        <v>123</v>
      </c>
      <c r="BH47" s="17">
        <v>190</v>
      </c>
      <c r="BI47" s="7">
        <f>9160/26</f>
        <v>352.3076923076923</v>
      </c>
      <c r="BJ47" s="7">
        <f>37693/83</f>
        <v>454.13253012048193</v>
      </c>
    </row>
    <row r="48" spans="1:62" ht="12.75">
      <c r="A48" s="2" t="s">
        <v>12</v>
      </c>
      <c r="B48" s="4">
        <v>139</v>
      </c>
      <c r="C48" s="4">
        <v>136</v>
      </c>
      <c r="D48" s="4">
        <v>122</v>
      </c>
      <c r="E48" s="4">
        <v>119</v>
      </c>
      <c r="F48" s="17">
        <v>127</v>
      </c>
      <c r="G48" s="7">
        <f>21416/26</f>
        <v>823.6923076923077</v>
      </c>
      <c r="H48" s="7">
        <f>106836/83</f>
        <v>1287.1807228915663</v>
      </c>
      <c r="J48" s="3" t="s">
        <v>12</v>
      </c>
      <c r="K48" s="4">
        <v>766</v>
      </c>
      <c r="L48" s="4">
        <v>772</v>
      </c>
      <c r="M48" s="4">
        <v>770</v>
      </c>
      <c r="N48" s="4">
        <v>689</v>
      </c>
      <c r="O48" s="17">
        <v>837</v>
      </c>
      <c r="P48" s="7">
        <f>21416/26</f>
        <v>823.6923076923077</v>
      </c>
      <c r="Q48" s="7">
        <f>106836/83</f>
        <v>1287.1807228915663</v>
      </c>
      <c r="S48" s="3" t="s">
        <v>12</v>
      </c>
      <c r="T48" s="4">
        <v>16</v>
      </c>
      <c r="U48" s="4">
        <v>16</v>
      </c>
      <c r="V48" s="4">
        <v>16</v>
      </c>
      <c r="W48" s="4">
        <v>15</v>
      </c>
      <c r="X48" s="17"/>
      <c r="Y48" s="7">
        <f>21416/26</f>
        <v>823.6923076923077</v>
      </c>
      <c r="Z48" s="7">
        <f>106836/83</f>
        <v>1287.1807228915663</v>
      </c>
      <c r="AB48" s="3" t="s">
        <v>12</v>
      </c>
      <c r="AC48" s="4">
        <v>1074</v>
      </c>
      <c r="AD48" s="4">
        <v>1192</v>
      </c>
      <c r="AE48" s="4">
        <v>1211</v>
      </c>
      <c r="AF48" s="4">
        <v>1316</v>
      </c>
      <c r="AG48" s="17">
        <v>1930</v>
      </c>
      <c r="AH48" s="7">
        <f>21416/26</f>
        <v>823.6923076923077</v>
      </c>
      <c r="AI48" s="7">
        <f>106836/83</f>
        <v>1287.1807228915663</v>
      </c>
      <c r="AK48" s="3" t="s">
        <v>12</v>
      </c>
      <c r="AL48" s="4">
        <v>1559</v>
      </c>
      <c r="AM48" s="4">
        <v>7944</v>
      </c>
      <c r="AN48" s="4">
        <v>7015</v>
      </c>
      <c r="AO48" s="4">
        <v>6571</v>
      </c>
      <c r="AP48" s="17">
        <v>9597</v>
      </c>
      <c r="AQ48" s="7">
        <f>21416/26</f>
        <v>823.6923076923077</v>
      </c>
      <c r="AR48" s="7">
        <f>106836/83</f>
        <v>1287.1807228915663</v>
      </c>
      <c r="AT48" s="3" t="s">
        <v>12</v>
      </c>
      <c r="AU48" s="4">
        <v>547</v>
      </c>
      <c r="AV48" s="4">
        <v>558</v>
      </c>
      <c r="AW48" s="4">
        <v>669</v>
      </c>
      <c r="AX48" s="4">
        <v>719</v>
      </c>
      <c r="AY48" s="17">
        <v>873</v>
      </c>
      <c r="AZ48" s="7">
        <f>21416/26</f>
        <v>823.6923076923077</v>
      </c>
      <c r="BA48" s="7">
        <f>106836/83</f>
        <v>1287.1807228915663</v>
      </c>
      <c r="BC48" s="3" t="s">
        <v>12</v>
      </c>
      <c r="BD48" s="4">
        <v>740</v>
      </c>
      <c r="BE48" s="4">
        <v>688</v>
      </c>
      <c r="BF48" s="4">
        <v>680</v>
      </c>
      <c r="BG48" s="4">
        <v>634</v>
      </c>
      <c r="BH48" s="17">
        <v>741</v>
      </c>
      <c r="BI48" s="7">
        <f>21416/26</f>
        <v>823.6923076923077</v>
      </c>
      <c r="BJ48" s="7">
        <f>106836/83</f>
        <v>1287.1807228915663</v>
      </c>
    </row>
    <row r="49" spans="1:62" ht="12.75">
      <c r="A49" s="2" t="s">
        <v>13</v>
      </c>
      <c r="B49" s="4">
        <v>51</v>
      </c>
      <c r="C49" s="4">
        <v>60</v>
      </c>
      <c r="D49" s="4">
        <v>61</v>
      </c>
      <c r="E49" s="4">
        <v>69</v>
      </c>
      <c r="F49" s="17">
        <v>82</v>
      </c>
      <c r="G49" s="7">
        <f>11513/26</f>
        <v>442.8076923076923</v>
      </c>
      <c r="H49" s="7">
        <f>58664/83</f>
        <v>706.7951807228916</v>
      </c>
      <c r="J49" s="3" t="s">
        <v>13</v>
      </c>
      <c r="K49" s="4">
        <v>191</v>
      </c>
      <c r="L49" s="4">
        <v>222</v>
      </c>
      <c r="M49" s="4">
        <v>283</v>
      </c>
      <c r="N49" s="4">
        <v>314</v>
      </c>
      <c r="O49" s="17">
        <v>365</v>
      </c>
      <c r="P49" s="7">
        <f>11513/26</f>
        <v>442.8076923076923</v>
      </c>
      <c r="Q49" s="7">
        <f>58664/83</f>
        <v>706.7951807228916</v>
      </c>
      <c r="S49" s="3" t="s">
        <v>13</v>
      </c>
      <c r="T49" s="4">
        <v>4</v>
      </c>
      <c r="U49" s="4">
        <v>5</v>
      </c>
      <c r="V49" s="4">
        <v>5</v>
      </c>
      <c r="W49" s="4">
        <v>5</v>
      </c>
      <c r="X49" s="17"/>
      <c r="Y49" s="7">
        <f>11513/26</f>
        <v>442.8076923076923</v>
      </c>
      <c r="Z49" s="7">
        <f>58664/83</f>
        <v>706.7951807228916</v>
      </c>
      <c r="AB49" s="3" t="s">
        <v>13</v>
      </c>
      <c r="AC49" s="4">
        <v>418</v>
      </c>
      <c r="AD49" s="4">
        <v>577</v>
      </c>
      <c r="AE49" s="4">
        <v>810</v>
      </c>
      <c r="AF49" s="4">
        <v>1085</v>
      </c>
      <c r="AG49" s="17">
        <v>1691</v>
      </c>
      <c r="AH49" s="7">
        <f>11513/26</f>
        <v>442.8076923076923</v>
      </c>
      <c r="AI49" s="7">
        <f>58664/83</f>
        <v>706.7951807228916</v>
      </c>
      <c r="AK49" s="3" t="s">
        <v>13</v>
      </c>
      <c r="AL49" s="4">
        <v>623</v>
      </c>
      <c r="AM49" s="4">
        <v>2012</v>
      </c>
      <c r="AN49" s="4">
        <v>2571</v>
      </c>
      <c r="AO49" s="4">
        <v>3299</v>
      </c>
      <c r="AP49" s="17">
        <v>4480</v>
      </c>
      <c r="AQ49" s="7">
        <f>11513/26</f>
        <v>442.8076923076923</v>
      </c>
      <c r="AR49" s="7">
        <f>58664/83</f>
        <v>706.7951807228916</v>
      </c>
      <c r="AT49" s="3" t="s">
        <v>13</v>
      </c>
      <c r="AU49" s="4">
        <v>95</v>
      </c>
      <c r="AV49" s="4">
        <v>118</v>
      </c>
      <c r="AW49" s="4">
        <v>217</v>
      </c>
      <c r="AX49" s="4">
        <v>265</v>
      </c>
      <c r="AY49" s="17">
        <v>317</v>
      </c>
      <c r="AZ49" s="7">
        <f>11513/26</f>
        <v>442.8076923076923</v>
      </c>
      <c r="BA49" s="7">
        <f>58664/83</f>
        <v>706.7951807228916</v>
      </c>
      <c r="BC49" s="3" t="s">
        <v>13</v>
      </c>
      <c r="BD49" s="4">
        <v>259</v>
      </c>
      <c r="BE49" s="4">
        <v>333</v>
      </c>
      <c r="BF49" s="4">
        <v>346</v>
      </c>
      <c r="BG49" s="4">
        <v>380</v>
      </c>
      <c r="BH49" s="17">
        <v>519</v>
      </c>
      <c r="BI49" s="7">
        <f>11513/26</f>
        <v>442.8076923076923</v>
      </c>
      <c r="BJ49" s="7">
        <f>58664/83</f>
        <v>706.7951807228916</v>
      </c>
    </row>
    <row r="50" spans="1:62" ht="12.75">
      <c r="A50" s="2"/>
      <c r="B50" s="3"/>
      <c r="C50" s="3"/>
      <c r="D50" s="3"/>
      <c r="E50" s="4"/>
      <c r="F50" s="17"/>
      <c r="G50" s="3"/>
      <c r="J50" s="3"/>
      <c r="K50" s="3"/>
      <c r="L50" s="3"/>
      <c r="M50" s="3"/>
      <c r="N50" s="4"/>
      <c r="O50" s="17"/>
      <c r="P50" s="3"/>
      <c r="Q50" s="3"/>
      <c r="S50" s="3"/>
      <c r="T50" s="3"/>
      <c r="U50" s="3"/>
      <c r="V50" s="3"/>
      <c r="W50" s="4"/>
      <c r="X50" s="17"/>
      <c r="Y50" s="3"/>
      <c r="Z50" s="3"/>
      <c r="AB50" s="3"/>
      <c r="AC50" s="3"/>
      <c r="AD50" s="3"/>
      <c r="AE50" s="3"/>
      <c r="AF50" s="4"/>
      <c r="AG50" s="17"/>
      <c r="AH50" s="3"/>
      <c r="AI50" s="3"/>
      <c r="AK50" s="3"/>
      <c r="AL50" s="3"/>
      <c r="AM50" s="3"/>
      <c r="AN50" s="3"/>
      <c r="AO50" s="4"/>
      <c r="AP50" s="17"/>
      <c r="AQ50" s="3"/>
      <c r="AR50" s="3"/>
      <c r="AT50" s="3"/>
      <c r="AU50" s="3"/>
      <c r="AV50" s="3"/>
      <c r="AW50" s="3"/>
      <c r="AX50" s="4"/>
      <c r="AY50" s="17"/>
      <c r="AZ50" s="3"/>
      <c r="BA50" s="3"/>
      <c r="BC50" s="3"/>
      <c r="BD50" s="3"/>
      <c r="BE50" s="3"/>
      <c r="BF50" s="3"/>
      <c r="BG50" s="4"/>
      <c r="BH50" s="17"/>
      <c r="BI50" s="3"/>
      <c r="BJ50" s="3"/>
    </row>
    <row r="51" spans="1:62" ht="12.75">
      <c r="A51" s="48" t="s">
        <v>14</v>
      </c>
      <c r="B51" s="5">
        <v>8.4</v>
      </c>
      <c r="C51" s="5">
        <v>7.32</v>
      </c>
      <c r="D51" s="5">
        <v>5.8</v>
      </c>
      <c r="E51" s="5">
        <v>5.07</v>
      </c>
      <c r="F51" s="18">
        <v>4.97</v>
      </c>
      <c r="G51" s="5">
        <v>4.31</v>
      </c>
      <c r="H51" s="5">
        <v>4.35</v>
      </c>
      <c r="I51" s="6"/>
      <c r="J51" s="6" t="s">
        <v>14</v>
      </c>
      <c r="K51" s="5">
        <v>8.3</v>
      </c>
      <c r="L51" s="5">
        <v>7.24</v>
      </c>
      <c r="M51" s="5">
        <v>5.88</v>
      </c>
      <c r="N51" s="5">
        <v>4.54</v>
      </c>
      <c r="O51" s="18">
        <v>4.73</v>
      </c>
      <c r="P51" s="5">
        <v>4.31</v>
      </c>
      <c r="Q51" s="5">
        <v>4.35</v>
      </c>
      <c r="R51" s="6"/>
      <c r="S51" s="6" t="s">
        <v>14</v>
      </c>
      <c r="T51" s="5">
        <v>9.25</v>
      </c>
      <c r="U51" s="5">
        <v>8.72</v>
      </c>
      <c r="V51" s="5">
        <v>8.02</v>
      </c>
      <c r="W51" s="5">
        <v>7.02</v>
      </c>
      <c r="X51" s="18"/>
      <c r="Y51" s="5">
        <v>4.31</v>
      </c>
      <c r="Z51" s="5">
        <v>4.35</v>
      </c>
      <c r="AA51" s="6"/>
      <c r="AB51" s="6" t="s">
        <v>14</v>
      </c>
      <c r="AC51" s="5">
        <v>6.48</v>
      </c>
      <c r="AD51" s="5">
        <v>5.29</v>
      </c>
      <c r="AE51" s="5">
        <v>4.12</v>
      </c>
      <c r="AF51" s="5">
        <v>3.45</v>
      </c>
      <c r="AG51" s="18">
        <v>3.76</v>
      </c>
      <c r="AH51" s="5">
        <v>4.31</v>
      </c>
      <c r="AI51" s="5">
        <v>4.35</v>
      </c>
      <c r="AJ51" s="6"/>
      <c r="AK51" s="6" t="s">
        <v>14</v>
      </c>
      <c r="AL51" s="5">
        <v>2.91</v>
      </c>
      <c r="AM51" s="5">
        <v>3.25</v>
      </c>
      <c r="AN51" s="5">
        <v>3.59</v>
      </c>
      <c r="AO51" s="5">
        <v>3.02</v>
      </c>
      <c r="AP51" s="18">
        <v>4.01</v>
      </c>
      <c r="AQ51" s="5">
        <v>4.31</v>
      </c>
      <c r="AR51" s="5">
        <v>4.35</v>
      </c>
      <c r="AS51" s="6"/>
      <c r="AT51" s="6" t="s">
        <v>14</v>
      </c>
      <c r="AU51" s="5">
        <v>5.92</v>
      </c>
      <c r="AV51" s="5">
        <v>5.77</v>
      </c>
      <c r="AW51" s="5">
        <v>5.31</v>
      </c>
      <c r="AX51" s="5">
        <v>5</v>
      </c>
      <c r="AY51" s="18">
        <v>5.66</v>
      </c>
      <c r="AZ51" s="5">
        <v>4.31</v>
      </c>
      <c r="BA51" s="5">
        <v>4.35</v>
      </c>
      <c r="BB51" s="6"/>
      <c r="BC51" s="6" t="s">
        <v>14</v>
      </c>
      <c r="BD51" s="5">
        <v>8.09</v>
      </c>
      <c r="BE51" s="5">
        <v>6.76</v>
      </c>
      <c r="BF51" s="5">
        <v>5.47</v>
      </c>
      <c r="BG51" s="5">
        <v>4.32</v>
      </c>
      <c r="BH51" s="18">
        <v>4.67</v>
      </c>
      <c r="BI51" s="5">
        <v>4.31</v>
      </c>
      <c r="BJ51" s="5">
        <v>4.35</v>
      </c>
    </row>
    <row r="52" spans="1:62" ht="12.75">
      <c r="A52" s="48" t="s">
        <v>18</v>
      </c>
      <c r="B52" s="5">
        <v>3.08</v>
      </c>
      <c r="C52" s="5">
        <v>3.49</v>
      </c>
      <c r="D52" s="6">
        <v>4.52</v>
      </c>
      <c r="E52" s="5">
        <v>4.62</v>
      </c>
      <c r="F52" s="18">
        <v>4.65</v>
      </c>
      <c r="G52" s="5">
        <v>4.21</v>
      </c>
      <c r="H52" s="5">
        <v>3.79</v>
      </c>
      <c r="I52" s="6"/>
      <c r="J52" s="6" t="s">
        <v>18</v>
      </c>
      <c r="K52" s="5">
        <v>4.37</v>
      </c>
      <c r="L52" s="5">
        <v>4.34</v>
      </c>
      <c r="M52" s="6">
        <v>4.38</v>
      </c>
      <c r="N52" s="5">
        <v>4.81</v>
      </c>
      <c r="O52" s="18">
        <v>4.18</v>
      </c>
      <c r="P52" s="5">
        <v>4.21</v>
      </c>
      <c r="Q52" s="5">
        <v>3.79</v>
      </c>
      <c r="R52" s="6"/>
      <c r="S52" s="6" t="s">
        <v>18</v>
      </c>
      <c r="T52" s="5">
        <v>4.77</v>
      </c>
      <c r="U52" s="5">
        <v>3.97</v>
      </c>
      <c r="V52" s="6">
        <v>3.99</v>
      </c>
      <c r="W52" s="5">
        <v>5.18</v>
      </c>
      <c r="X52" s="18"/>
      <c r="Y52" s="5">
        <v>4.21</v>
      </c>
      <c r="Z52" s="5">
        <v>3.79</v>
      </c>
      <c r="AA52" s="6"/>
      <c r="AB52" s="6" t="s">
        <v>18</v>
      </c>
      <c r="AC52" s="5">
        <v>4.42</v>
      </c>
      <c r="AD52" s="5">
        <v>3.19</v>
      </c>
      <c r="AE52" s="6">
        <v>3.4</v>
      </c>
      <c r="AF52" s="5">
        <v>4.23</v>
      </c>
      <c r="AG52" s="18">
        <v>5.15</v>
      </c>
      <c r="AH52" s="5">
        <v>4.21</v>
      </c>
      <c r="AI52" s="5">
        <v>3.79</v>
      </c>
      <c r="AJ52" s="6"/>
      <c r="AK52" s="6" t="s">
        <v>18</v>
      </c>
      <c r="AL52" s="5">
        <v>-0.06</v>
      </c>
      <c r="AM52" s="5">
        <v>8.74</v>
      </c>
      <c r="AN52" s="6">
        <v>6.94</v>
      </c>
      <c r="AO52" s="5">
        <v>5.75</v>
      </c>
      <c r="AP52" s="18">
        <v>4.14</v>
      </c>
      <c r="AQ52" s="5">
        <v>4.21</v>
      </c>
      <c r="AR52" s="5">
        <v>3.79</v>
      </c>
      <c r="AS52" s="6"/>
      <c r="AT52" s="6" t="s">
        <v>18</v>
      </c>
      <c r="AU52" s="5">
        <v>2.81</v>
      </c>
      <c r="AV52" s="5">
        <v>2.78</v>
      </c>
      <c r="AW52" s="6">
        <v>5.28</v>
      </c>
      <c r="AX52" s="5">
        <v>4.95</v>
      </c>
      <c r="AY52" s="18">
        <v>3.69</v>
      </c>
      <c r="AZ52" s="5">
        <v>4.21</v>
      </c>
      <c r="BA52" s="5">
        <v>3.79</v>
      </c>
      <c r="BB52" s="6"/>
      <c r="BC52" s="6" t="s">
        <v>18</v>
      </c>
      <c r="BD52" s="5">
        <v>2.21</v>
      </c>
      <c r="BE52" s="5">
        <v>3.01</v>
      </c>
      <c r="BF52" s="6">
        <v>3.36</v>
      </c>
      <c r="BG52" s="5">
        <v>3.75</v>
      </c>
      <c r="BH52" s="18">
        <v>3.87</v>
      </c>
      <c r="BI52" s="5">
        <v>4.21</v>
      </c>
      <c r="BJ52" s="5">
        <v>3.79</v>
      </c>
    </row>
    <row r="53" spans="1:62" ht="12.75">
      <c r="A53" s="48" t="s">
        <v>54</v>
      </c>
      <c r="B53" s="5">
        <v>17.97</v>
      </c>
      <c r="C53" s="5">
        <v>20.09</v>
      </c>
      <c r="D53" s="5">
        <v>21.05</v>
      </c>
      <c r="E53" s="5">
        <v>20.92</v>
      </c>
      <c r="F53" s="18">
        <v>20.04</v>
      </c>
      <c r="G53" s="5">
        <v>12.22</v>
      </c>
      <c r="H53" s="5">
        <v>20.17</v>
      </c>
      <c r="I53" s="6"/>
      <c r="J53" s="6" t="s">
        <v>54</v>
      </c>
      <c r="K53" s="5">
        <v>12.63</v>
      </c>
      <c r="L53" s="5">
        <v>14.02</v>
      </c>
      <c r="M53" s="5">
        <v>16.92</v>
      </c>
      <c r="N53" s="5">
        <v>18.53</v>
      </c>
      <c r="O53" s="18">
        <v>19.01</v>
      </c>
      <c r="P53" s="5">
        <v>12.22</v>
      </c>
      <c r="Q53" s="5">
        <v>20.17</v>
      </c>
      <c r="R53" s="6"/>
      <c r="S53" s="6" t="s">
        <v>54</v>
      </c>
      <c r="T53" s="5">
        <v>11.77</v>
      </c>
      <c r="U53" s="5">
        <v>12.38</v>
      </c>
      <c r="V53" s="5">
        <v>14.58</v>
      </c>
      <c r="W53" s="5">
        <v>15.43</v>
      </c>
      <c r="X53" s="18"/>
      <c r="Y53" s="5">
        <v>12.22</v>
      </c>
      <c r="Z53" s="5">
        <v>20.17</v>
      </c>
      <c r="AA53" s="6"/>
      <c r="AB53" s="6" t="s">
        <v>54</v>
      </c>
      <c r="AC53" s="5">
        <v>7.32</v>
      </c>
      <c r="AD53" s="5">
        <v>8.52</v>
      </c>
      <c r="AE53" s="5">
        <v>10.1</v>
      </c>
      <c r="AF53" s="5">
        <v>11.52</v>
      </c>
      <c r="AG53" s="18">
        <v>13.45</v>
      </c>
      <c r="AH53" s="5">
        <v>12.22</v>
      </c>
      <c r="AI53" s="5">
        <v>20.17</v>
      </c>
      <c r="AJ53" s="6"/>
      <c r="AK53" s="6" t="s">
        <v>54</v>
      </c>
      <c r="AL53" s="5">
        <v>6.75</v>
      </c>
      <c r="AM53" s="5">
        <v>4.05</v>
      </c>
      <c r="AN53" s="5">
        <v>5.7</v>
      </c>
      <c r="AO53" s="5">
        <v>7.47</v>
      </c>
      <c r="AP53" s="18">
        <v>7.69</v>
      </c>
      <c r="AQ53" s="5">
        <v>12.22</v>
      </c>
      <c r="AR53" s="5">
        <v>20.17</v>
      </c>
      <c r="AS53" s="6"/>
      <c r="AT53" s="6" t="s">
        <v>54</v>
      </c>
      <c r="AU53" s="5">
        <v>3.16</v>
      </c>
      <c r="AV53" s="5">
        <v>4.18</v>
      </c>
      <c r="AW53" s="5">
        <v>5.68</v>
      </c>
      <c r="AX53" s="5">
        <v>6.11</v>
      </c>
      <c r="AY53" s="18">
        <v>7.13</v>
      </c>
      <c r="AZ53" s="5">
        <v>12.22</v>
      </c>
      <c r="BA53" s="5">
        <v>20.17</v>
      </c>
      <c r="BB53" s="6"/>
      <c r="BC53" s="6" t="s">
        <v>54</v>
      </c>
      <c r="BD53" s="5">
        <v>13.97</v>
      </c>
      <c r="BE53" s="5">
        <v>16.96</v>
      </c>
      <c r="BF53" s="5">
        <v>16.34</v>
      </c>
      <c r="BG53" s="5">
        <v>17.37</v>
      </c>
      <c r="BH53" s="18">
        <v>18.59</v>
      </c>
      <c r="BI53" s="5">
        <v>12.22</v>
      </c>
      <c r="BJ53" s="5">
        <v>20.17</v>
      </c>
    </row>
    <row r="54" spans="1:62" ht="12.75">
      <c r="A54" s="48"/>
      <c r="B54" s="6"/>
      <c r="C54" s="6"/>
      <c r="D54" s="6"/>
      <c r="E54" s="5"/>
      <c r="F54" s="18"/>
      <c r="G54" s="6"/>
      <c r="H54" s="6"/>
      <c r="I54" s="6"/>
      <c r="J54" s="6"/>
      <c r="K54" s="6"/>
      <c r="L54" s="6"/>
      <c r="M54" s="6"/>
      <c r="N54" s="5"/>
      <c r="O54" s="18"/>
      <c r="P54" s="6"/>
      <c r="Q54" s="6"/>
      <c r="R54" s="6"/>
      <c r="S54" s="6"/>
      <c r="T54" s="6"/>
      <c r="U54" s="6"/>
      <c r="V54" s="6"/>
      <c r="W54" s="5"/>
      <c r="X54" s="18"/>
      <c r="Y54" s="6"/>
      <c r="Z54" s="6"/>
      <c r="AA54" s="6"/>
      <c r="AB54" s="6"/>
      <c r="AC54" s="6"/>
      <c r="AD54" s="6"/>
      <c r="AE54" s="6"/>
      <c r="AF54" s="5"/>
      <c r="AG54" s="18"/>
      <c r="AH54" s="6"/>
      <c r="AI54" s="6"/>
      <c r="AJ54" s="6"/>
      <c r="AK54" s="6"/>
      <c r="AL54" s="6"/>
      <c r="AM54" s="6"/>
      <c r="AN54" s="6"/>
      <c r="AO54" s="5"/>
      <c r="AP54" s="18"/>
      <c r="AQ54" s="6"/>
      <c r="AR54" s="6"/>
      <c r="AS54" s="6"/>
      <c r="AT54" s="6"/>
      <c r="AU54" s="6"/>
      <c r="AV54" s="6"/>
      <c r="AW54" s="6"/>
      <c r="AX54" s="5"/>
      <c r="AY54" s="18"/>
      <c r="AZ54" s="6"/>
      <c r="BA54" s="6"/>
      <c r="BB54" s="6"/>
      <c r="BC54" s="6"/>
      <c r="BD54" s="6"/>
      <c r="BE54" s="6"/>
      <c r="BF54" s="6"/>
      <c r="BG54" s="5"/>
      <c r="BH54" s="18"/>
      <c r="BI54" s="6"/>
      <c r="BJ54" s="6"/>
    </row>
    <row r="55" spans="1:62" ht="12.75">
      <c r="A55" s="48" t="s">
        <v>15</v>
      </c>
      <c r="B55" s="5">
        <v>0.53</v>
      </c>
      <c r="C55" s="5">
        <v>0.71</v>
      </c>
      <c r="D55" s="5">
        <v>0.71</v>
      </c>
      <c r="E55" s="5">
        <v>-0.83</v>
      </c>
      <c r="F55" s="18">
        <v>0.33</v>
      </c>
      <c r="G55" s="5">
        <v>1.08</v>
      </c>
      <c r="H55" s="5">
        <v>1</v>
      </c>
      <c r="I55" s="6"/>
      <c r="J55" s="6" t="s">
        <v>15</v>
      </c>
      <c r="K55" s="5">
        <v>0.81</v>
      </c>
      <c r="L55" s="5">
        <v>0.86</v>
      </c>
      <c r="M55" s="5">
        <v>0.9</v>
      </c>
      <c r="N55" s="5">
        <v>0.62</v>
      </c>
      <c r="O55" s="18">
        <v>1.28</v>
      </c>
      <c r="P55" s="5">
        <v>1.08</v>
      </c>
      <c r="Q55" s="5">
        <v>1</v>
      </c>
      <c r="R55" s="6"/>
      <c r="S55" s="6" t="s">
        <v>15</v>
      </c>
      <c r="T55" s="5">
        <v>1.14</v>
      </c>
      <c r="U55" s="5">
        <v>1.65</v>
      </c>
      <c r="V55" s="5">
        <v>0.86</v>
      </c>
      <c r="W55" s="5">
        <v>-2.58</v>
      </c>
      <c r="X55" s="18"/>
      <c r="Y55" s="5">
        <v>1.08</v>
      </c>
      <c r="Z55" s="5">
        <v>1</v>
      </c>
      <c r="AA55" s="6"/>
      <c r="AB55" s="6" t="s">
        <v>15</v>
      </c>
      <c r="AC55" s="5">
        <v>1.48</v>
      </c>
      <c r="AD55" s="5">
        <v>1.52</v>
      </c>
      <c r="AE55" s="5">
        <v>1.45</v>
      </c>
      <c r="AF55" s="5">
        <v>1.47</v>
      </c>
      <c r="AG55" s="18">
        <v>1.38</v>
      </c>
      <c r="AH55" s="5">
        <v>1.08</v>
      </c>
      <c r="AI55" s="5">
        <v>1</v>
      </c>
      <c r="AJ55" s="6"/>
      <c r="AK55" s="6" t="s">
        <v>15</v>
      </c>
      <c r="AL55" s="5">
        <v>0.67</v>
      </c>
      <c r="AM55" s="5">
        <v>1.13</v>
      </c>
      <c r="AN55" s="5">
        <v>1.31</v>
      </c>
      <c r="AO55" s="5">
        <v>1.48</v>
      </c>
      <c r="AP55" s="18">
        <v>1.3</v>
      </c>
      <c r="AQ55" s="5">
        <v>1.08</v>
      </c>
      <c r="AR55" s="5">
        <v>1</v>
      </c>
      <c r="AS55" s="6"/>
      <c r="AT55" s="6" t="s">
        <v>15</v>
      </c>
      <c r="AU55" s="5">
        <v>0.5</v>
      </c>
      <c r="AV55" s="5">
        <v>0.91</v>
      </c>
      <c r="AW55" s="5">
        <v>1.74</v>
      </c>
      <c r="AX55" s="5">
        <v>1.5</v>
      </c>
      <c r="AY55" s="18">
        <v>0.22</v>
      </c>
      <c r="AZ55" s="5">
        <v>1.08</v>
      </c>
      <c r="BA55" s="5">
        <v>1</v>
      </c>
      <c r="BB55" s="6"/>
      <c r="BC55" s="6" t="s">
        <v>15</v>
      </c>
      <c r="BD55" s="5">
        <v>0.64</v>
      </c>
      <c r="BE55" s="5">
        <v>0.74</v>
      </c>
      <c r="BF55" s="5">
        <v>0.45</v>
      </c>
      <c r="BG55" s="5">
        <v>-0.25</v>
      </c>
      <c r="BH55" s="18">
        <v>0.05</v>
      </c>
      <c r="BI55" s="5">
        <v>1.08</v>
      </c>
      <c r="BJ55" s="5">
        <v>1</v>
      </c>
    </row>
    <row r="56" spans="1:62" ht="12.75">
      <c r="A56" s="48" t="s">
        <v>16</v>
      </c>
      <c r="B56" s="5">
        <v>11.23</v>
      </c>
      <c r="C56" s="5">
        <v>10.45</v>
      </c>
      <c r="D56" s="5">
        <v>13.56</v>
      </c>
      <c r="E56" s="5">
        <v>10.16</v>
      </c>
      <c r="F56" s="18">
        <v>9.75</v>
      </c>
      <c r="G56" s="5">
        <v>12.49</v>
      </c>
      <c r="H56" s="6">
        <v>12.24</v>
      </c>
      <c r="I56" s="6"/>
      <c r="J56" s="6" t="s">
        <v>16</v>
      </c>
      <c r="K56" s="5">
        <v>10.63</v>
      </c>
      <c r="L56" s="5">
        <v>11.23</v>
      </c>
      <c r="M56" s="5">
        <v>11.48</v>
      </c>
      <c r="N56" s="5">
        <v>11.27</v>
      </c>
      <c r="O56" s="18">
        <v>13.75</v>
      </c>
      <c r="P56" s="5">
        <v>12.49</v>
      </c>
      <c r="Q56" s="6">
        <v>12.24</v>
      </c>
      <c r="R56" s="6"/>
      <c r="S56" s="6" t="s">
        <v>16</v>
      </c>
      <c r="T56" s="5">
        <v>10.08</v>
      </c>
      <c r="U56" s="5">
        <v>10.44</v>
      </c>
      <c r="V56" s="5">
        <v>11.94</v>
      </c>
      <c r="W56" s="5">
        <v>3.99</v>
      </c>
      <c r="X56" s="18"/>
      <c r="Y56" s="5">
        <v>12.49</v>
      </c>
      <c r="Z56" s="6">
        <v>12.24</v>
      </c>
      <c r="AA56" s="6"/>
      <c r="AB56" s="6" t="s">
        <v>16</v>
      </c>
      <c r="AC56" s="5">
        <v>13.93</v>
      </c>
      <c r="AD56" s="5">
        <v>11.12</v>
      </c>
      <c r="AE56" s="5">
        <v>11.66</v>
      </c>
      <c r="AF56" s="5">
        <v>12.16</v>
      </c>
      <c r="AG56" s="18">
        <v>11.41</v>
      </c>
      <c r="AH56" s="5">
        <v>12.49</v>
      </c>
      <c r="AI56" s="6">
        <v>12.24</v>
      </c>
      <c r="AJ56" s="6"/>
      <c r="AK56" s="6" t="s">
        <v>16</v>
      </c>
      <c r="AL56" s="5">
        <v>11.44</v>
      </c>
      <c r="AM56" s="5">
        <v>11.1</v>
      </c>
      <c r="AN56" s="5">
        <v>10.36</v>
      </c>
      <c r="AO56" s="5">
        <v>11.78</v>
      </c>
      <c r="AP56" s="18">
        <v>13.35</v>
      </c>
      <c r="AQ56" s="5">
        <v>12.49</v>
      </c>
      <c r="AR56" s="6">
        <v>12.24</v>
      </c>
      <c r="AS56" s="6"/>
      <c r="AT56" s="6" t="s">
        <v>16</v>
      </c>
      <c r="AU56" s="5">
        <v>12.51</v>
      </c>
      <c r="AV56" s="5">
        <v>12.13</v>
      </c>
      <c r="AW56" s="5">
        <v>12.75</v>
      </c>
      <c r="AX56" s="5">
        <v>11.62</v>
      </c>
      <c r="AY56" s="18">
        <v>10.54</v>
      </c>
      <c r="AZ56" s="5">
        <v>12.49</v>
      </c>
      <c r="BA56" s="6">
        <v>12.24</v>
      </c>
      <c r="BB56" s="6"/>
      <c r="BC56" s="6" t="s">
        <v>16</v>
      </c>
      <c r="BD56" s="5">
        <v>11.57</v>
      </c>
      <c r="BE56" s="5">
        <v>9.81</v>
      </c>
      <c r="BF56" s="5">
        <v>11.05</v>
      </c>
      <c r="BG56" s="5">
        <v>9.09</v>
      </c>
      <c r="BH56" s="18">
        <v>10.67</v>
      </c>
      <c r="BI56" s="5">
        <v>12.49</v>
      </c>
      <c r="BJ56" s="6">
        <v>12.24</v>
      </c>
    </row>
    <row r="57" spans="1:62" ht="12.75">
      <c r="A57" s="48" t="s">
        <v>17</v>
      </c>
      <c r="B57" s="6">
        <v>11.66</v>
      </c>
      <c r="C57" s="6">
        <v>9.25</v>
      </c>
      <c r="D57" s="6">
        <v>6.68</v>
      </c>
      <c r="E57" s="5">
        <v>3.92</v>
      </c>
      <c r="F57" s="18">
        <v>2.44</v>
      </c>
      <c r="G57" s="6">
        <v>1.04</v>
      </c>
      <c r="H57" s="5">
        <v>1.22</v>
      </c>
      <c r="I57" s="6"/>
      <c r="J57" s="6" t="s">
        <v>17</v>
      </c>
      <c r="K57" s="6">
        <v>8.6</v>
      </c>
      <c r="L57" s="6">
        <v>4.95</v>
      </c>
      <c r="M57" s="6">
        <v>2.89</v>
      </c>
      <c r="N57" s="5">
        <v>2.21</v>
      </c>
      <c r="O57" s="18">
        <v>0.95</v>
      </c>
      <c r="P57" s="6">
        <v>1.04</v>
      </c>
      <c r="Q57" s="5">
        <v>1.22</v>
      </c>
      <c r="R57" s="6"/>
      <c r="S57" s="6" t="s">
        <v>17</v>
      </c>
      <c r="T57" s="6">
        <v>14.08</v>
      </c>
      <c r="U57" s="6">
        <v>12.89</v>
      </c>
      <c r="V57" s="6">
        <v>10.59</v>
      </c>
      <c r="W57" s="5">
        <v>8.32</v>
      </c>
      <c r="X57" s="18"/>
      <c r="Y57" s="6">
        <v>1.04</v>
      </c>
      <c r="Z57" s="5">
        <v>1.22</v>
      </c>
      <c r="AA57" s="6"/>
      <c r="AB57" s="6" t="s">
        <v>17</v>
      </c>
      <c r="AC57" s="6">
        <v>0.5</v>
      </c>
      <c r="AD57" s="6">
        <v>0.37</v>
      </c>
      <c r="AE57" s="6">
        <v>0.16</v>
      </c>
      <c r="AF57" s="5">
        <v>0.24</v>
      </c>
      <c r="AG57" s="18">
        <v>0.44</v>
      </c>
      <c r="AH57" s="6">
        <v>1.04</v>
      </c>
      <c r="AI57" s="5">
        <v>1.22</v>
      </c>
      <c r="AJ57" s="6"/>
      <c r="AK57" s="6" t="s">
        <v>17</v>
      </c>
      <c r="AL57" s="6">
        <v>5.48</v>
      </c>
      <c r="AM57" s="6">
        <v>5.21</v>
      </c>
      <c r="AN57" s="6">
        <v>2.21</v>
      </c>
      <c r="AO57" s="5">
        <v>1.65</v>
      </c>
      <c r="AP57" s="18">
        <v>0.72</v>
      </c>
      <c r="AQ57" s="6">
        <v>1.04</v>
      </c>
      <c r="AR57" s="5">
        <v>1.22</v>
      </c>
      <c r="AS57" s="6"/>
      <c r="AT57" s="6" t="s">
        <v>17</v>
      </c>
      <c r="AU57" s="6">
        <v>6.59</v>
      </c>
      <c r="AV57" s="6">
        <v>4.25</v>
      </c>
      <c r="AW57" s="6">
        <v>2.72</v>
      </c>
      <c r="AX57" s="5">
        <v>2.71</v>
      </c>
      <c r="AY57" s="18">
        <v>2.09</v>
      </c>
      <c r="AZ57" s="6">
        <v>1.04</v>
      </c>
      <c r="BA57" s="5">
        <v>1.22</v>
      </c>
      <c r="BB57" s="6"/>
      <c r="BC57" s="6" t="s">
        <v>17</v>
      </c>
      <c r="BD57" s="6">
        <v>4.59</v>
      </c>
      <c r="BE57" s="6">
        <v>3.55</v>
      </c>
      <c r="BF57" s="6">
        <v>2.6</v>
      </c>
      <c r="BG57" s="5">
        <v>2.13</v>
      </c>
      <c r="BH57" s="18">
        <v>1.76</v>
      </c>
      <c r="BI57" s="6">
        <v>1.04</v>
      </c>
      <c r="BJ57" s="5">
        <v>1.22</v>
      </c>
    </row>
    <row r="58" spans="1:62" ht="12.75">
      <c r="A58" s="3"/>
      <c r="B58" s="3"/>
      <c r="C58" s="3"/>
      <c r="D58" s="3"/>
      <c r="E58" s="3"/>
      <c r="F58" s="3"/>
      <c r="G58" s="3"/>
      <c r="J58" s="3"/>
      <c r="K58" s="3"/>
      <c r="L58" s="3"/>
      <c r="M58" s="3"/>
      <c r="N58" s="3"/>
      <c r="O58" s="3"/>
      <c r="P58" s="3"/>
      <c r="Q58" s="3"/>
      <c r="S58" s="3"/>
      <c r="T58" s="3"/>
      <c r="U58" s="3"/>
      <c r="V58" s="3"/>
      <c r="W58" s="3"/>
      <c r="X58" s="3"/>
      <c r="Y58" s="3"/>
      <c r="Z58" s="3"/>
      <c r="AB58" s="3"/>
      <c r="AC58" s="3"/>
      <c r="AD58" s="3"/>
      <c r="AE58" s="3"/>
      <c r="AF58" s="3"/>
      <c r="AG58" s="3"/>
      <c r="AH58" s="3"/>
      <c r="AI58" s="3"/>
      <c r="AK58" s="3"/>
      <c r="AL58" s="3"/>
      <c r="AM58" s="3"/>
      <c r="AN58" s="3"/>
      <c r="AO58" s="3"/>
      <c r="AP58" s="3"/>
      <c r="AQ58" s="3"/>
      <c r="AR58" s="3"/>
      <c r="AT58" s="3"/>
      <c r="AU58" s="3"/>
      <c r="AV58" s="3"/>
      <c r="AW58" s="3"/>
      <c r="AX58" s="3"/>
      <c r="AY58" s="3"/>
      <c r="AZ58" s="3"/>
      <c r="BA58" s="3"/>
      <c r="BC58" s="3"/>
      <c r="BD58" s="3"/>
      <c r="BE58" s="3"/>
      <c r="BF58" s="3"/>
      <c r="BG58" s="3"/>
      <c r="BH58" s="3"/>
      <c r="BI58" s="3"/>
      <c r="BJ58" s="3"/>
    </row>
    <row r="60" spans="1:62" ht="12.75">
      <c r="A60" s="26" t="s">
        <v>44</v>
      </c>
      <c r="B60" s="27"/>
      <c r="C60" s="27"/>
      <c r="D60" s="27"/>
      <c r="E60" s="27"/>
      <c r="F60" s="27"/>
      <c r="G60" s="26" t="s">
        <v>99</v>
      </c>
      <c r="H60" s="17"/>
      <c r="J60" s="26" t="s">
        <v>44</v>
      </c>
      <c r="K60" s="27"/>
      <c r="L60" s="27"/>
      <c r="M60" s="27"/>
      <c r="N60" s="27"/>
      <c r="O60" s="27"/>
      <c r="P60" s="27"/>
      <c r="Q60" s="26" t="s">
        <v>49</v>
      </c>
      <c r="S60" s="26" t="s">
        <v>44</v>
      </c>
      <c r="T60" s="27"/>
      <c r="U60" s="27"/>
      <c r="V60" s="27"/>
      <c r="W60" s="27"/>
      <c r="X60" s="27"/>
      <c r="Y60" s="26" t="s">
        <v>100</v>
      </c>
      <c r="Z60" s="27"/>
      <c r="AB60" s="26" t="s">
        <v>44</v>
      </c>
      <c r="AC60" s="27"/>
      <c r="AD60" s="27"/>
      <c r="AE60" s="27"/>
      <c r="AF60" s="27"/>
      <c r="AG60" s="27"/>
      <c r="AH60" s="26" t="s">
        <v>101</v>
      </c>
      <c r="AI60" s="27"/>
      <c r="AK60" s="26" t="s">
        <v>44</v>
      </c>
      <c r="AL60" s="27"/>
      <c r="AM60" s="27"/>
      <c r="AN60" s="27"/>
      <c r="AO60" s="27"/>
      <c r="AP60" s="27"/>
      <c r="AQ60" s="26" t="s">
        <v>102</v>
      </c>
      <c r="AR60" s="27"/>
      <c r="AT60" s="26" t="s">
        <v>44</v>
      </c>
      <c r="AU60" s="27"/>
      <c r="AV60" s="27"/>
      <c r="AW60" s="27"/>
      <c r="AX60" s="27"/>
      <c r="AY60" s="27"/>
      <c r="AZ60" s="26" t="s">
        <v>103</v>
      </c>
      <c r="BA60" s="27"/>
      <c r="BC60" s="26" t="s">
        <v>44</v>
      </c>
      <c r="BD60" s="27"/>
      <c r="BE60" s="27"/>
      <c r="BF60" s="27"/>
      <c r="BG60" s="27"/>
      <c r="BH60" s="27"/>
      <c r="BI60" s="27"/>
      <c r="BJ60" s="26" t="s">
        <v>50</v>
      </c>
    </row>
    <row r="61" spans="8:62" ht="12.75">
      <c r="H61" s="39" t="s">
        <v>19</v>
      </c>
      <c r="Q61" s="39" t="s">
        <v>19</v>
      </c>
      <c r="Z61" s="39" t="s">
        <v>19</v>
      </c>
      <c r="AI61" s="39" t="s">
        <v>19</v>
      </c>
      <c r="AR61" s="39" t="s">
        <v>19</v>
      </c>
      <c r="BA61" s="39" t="s">
        <v>19</v>
      </c>
      <c r="BJ61" s="39" t="s">
        <v>19</v>
      </c>
    </row>
    <row r="62" spans="1:62" ht="12.75">
      <c r="A62" s="17" t="s">
        <v>4</v>
      </c>
      <c r="B62" s="17" t="s">
        <v>0</v>
      </c>
      <c r="C62" s="17" t="s">
        <v>1</v>
      </c>
      <c r="D62" s="17" t="s">
        <v>2</v>
      </c>
      <c r="E62" s="17" t="s">
        <v>3</v>
      </c>
      <c r="F62" s="17" t="s">
        <v>117</v>
      </c>
      <c r="G62" s="17" t="s">
        <v>53</v>
      </c>
      <c r="H62" s="17" t="s">
        <v>111</v>
      </c>
      <c r="J62" s="17" t="s">
        <v>4</v>
      </c>
      <c r="K62" s="17" t="s">
        <v>0</v>
      </c>
      <c r="L62" s="17" t="s">
        <v>1</v>
      </c>
      <c r="M62" s="17" t="s">
        <v>2</v>
      </c>
      <c r="N62" s="17" t="s">
        <v>3</v>
      </c>
      <c r="O62" s="17" t="s">
        <v>117</v>
      </c>
      <c r="P62" s="17" t="s">
        <v>53</v>
      </c>
      <c r="Q62" s="17" t="s">
        <v>111</v>
      </c>
      <c r="S62" s="17" t="s">
        <v>4</v>
      </c>
      <c r="T62" s="17" t="s">
        <v>0</v>
      </c>
      <c r="U62" s="17" t="s">
        <v>1</v>
      </c>
      <c r="V62" s="17" t="s">
        <v>2</v>
      </c>
      <c r="W62" s="17" t="s">
        <v>3</v>
      </c>
      <c r="X62" s="17" t="s">
        <v>117</v>
      </c>
      <c r="Y62" s="17" t="s">
        <v>53</v>
      </c>
      <c r="Z62" s="17" t="s">
        <v>111</v>
      </c>
      <c r="AB62" s="17" t="s">
        <v>4</v>
      </c>
      <c r="AC62" s="17" t="s">
        <v>0</v>
      </c>
      <c r="AD62" s="17" t="s">
        <v>1</v>
      </c>
      <c r="AE62" s="17" t="s">
        <v>2</v>
      </c>
      <c r="AF62" s="17" t="s">
        <v>3</v>
      </c>
      <c r="AG62" s="17" t="s">
        <v>117</v>
      </c>
      <c r="AH62" s="17" t="s">
        <v>53</v>
      </c>
      <c r="AI62" s="17" t="s">
        <v>111</v>
      </c>
      <c r="AK62" s="17" t="s">
        <v>4</v>
      </c>
      <c r="AL62" s="17" t="s">
        <v>0</v>
      </c>
      <c r="AM62" s="17" t="s">
        <v>1</v>
      </c>
      <c r="AN62" s="17" t="s">
        <v>2</v>
      </c>
      <c r="AO62" s="17" t="s">
        <v>3</v>
      </c>
      <c r="AP62" s="17" t="s">
        <v>117</v>
      </c>
      <c r="AQ62" s="17" t="s">
        <v>53</v>
      </c>
      <c r="AR62" s="17" t="s">
        <v>111</v>
      </c>
      <c r="AT62" s="17" t="s">
        <v>4</v>
      </c>
      <c r="AU62" s="17" t="s">
        <v>0</v>
      </c>
      <c r="AV62" s="17" t="s">
        <v>1</v>
      </c>
      <c r="AW62" s="17" t="s">
        <v>2</v>
      </c>
      <c r="AX62" s="17" t="s">
        <v>3</v>
      </c>
      <c r="AY62" s="17" t="s">
        <v>117</v>
      </c>
      <c r="AZ62" s="17" t="s">
        <v>53</v>
      </c>
      <c r="BA62" s="17" t="s">
        <v>111</v>
      </c>
      <c r="BC62" s="17" t="s">
        <v>4</v>
      </c>
      <c r="BD62" s="17" t="s">
        <v>0</v>
      </c>
      <c r="BE62" s="17" t="s">
        <v>1</v>
      </c>
      <c r="BF62" s="17" t="s">
        <v>2</v>
      </c>
      <c r="BG62" s="17" t="s">
        <v>3</v>
      </c>
      <c r="BH62" s="17" t="s">
        <v>117</v>
      </c>
      <c r="BI62" s="17" t="s">
        <v>53</v>
      </c>
      <c r="BJ62" s="17" t="s">
        <v>111</v>
      </c>
    </row>
    <row r="63" spans="1:62" ht="12.75">
      <c r="A63" s="17"/>
      <c r="B63" s="17"/>
      <c r="C63" s="17"/>
      <c r="D63" s="17"/>
      <c r="E63" s="17"/>
      <c r="F63" s="17"/>
      <c r="G63" s="28" t="s">
        <v>117</v>
      </c>
      <c r="H63" s="28" t="s">
        <v>117</v>
      </c>
      <c r="J63" s="17"/>
      <c r="K63" s="17"/>
      <c r="L63" s="17"/>
      <c r="M63" s="17"/>
      <c r="N63" s="17"/>
      <c r="O63" s="17"/>
      <c r="P63" s="28" t="s">
        <v>117</v>
      </c>
      <c r="Q63" s="28" t="s">
        <v>117</v>
      </c>
      <c r="S63" s="17"/>
      <c r="T63" s="17"/>
      <c r="U63" s="17"/>
      <c r="V63" s="17"/>
      <c r="W63" s="17"/>
      <c r="X63" s="17"/>
      <c r="Y63" s="28" t="s">
        <v>117</v>
      </c>
      <c r="Z63" s="28" t="s">
        <v>117</v>
      </c>
      <c r="AB63" s="17"/>
      <c r="AC63" s="17"/>
      <c r="AD63" s="17"/>
      <c r="AE63" s="17"/>
      <c r="AF63" s="17"/>
      <c r="AG63" s="17"/>
      <c r="AH63" s="28" t="s">
        <v>117</v>
      </c>
      <c r="AI63" s="28" t="s">
        <v>117</v>
      </c>
      <c r="AK63" s="17"/>
      <c r="AL63" s="17"/>
      <c r="AM63" s="17"/>
      <c r="AN63" s="17"/>
      <c r="AO63" s="17"/>
      <c r="AP63" s="17"/>
      <c r="AQ63" s="28" t="s">
        <v>117</v>
      </c>
      <c r="AR63" s="28" t="s">
        <v>117</v>
      </c>
      <c r="AT63" s="17"/>
      <c r="AU63" s="17"/>
      <c r="AV63" s="17"/>
      <c r="AW63" s="17"/>
      <c r="AX63" s="17"/>
      <c r="AY63" s="17"/>
      <c r="AZ63" s="28" t="s">
        <v>117</v>
      </c>
      <c r="BA63" s="28" t="s">
        <v>117</v>
      </c>
      <c r="BC63" s="17"/>
      <c r="BD63" s="17"/>
      <c r="BE63" s="17"/>
      <c r="BF63" s="17"/>
      <c r="BG63" s="17"/>
      <c r="BH63" s="17"/>
      <c r="BI63" s="28" t="s">
        <v>117</v>
      </c>
      <c r="BJ63" s="28" t="s">
        <v>117</v>
      </c>
    </row>
    <row r="64" spans="1:62" ht="12.75">
      <c r="A64" s="2" t="s">
        <v>5</v>
      </c>
      <c r="B64" s="3">
        <v>401</v>
      </c>
      <c r="C64" s="3">
        <v>409</v>
      </c>
      <c r="D64" s="3">
        <v>428</v>
      </c>
      <c r="E64" s="4">
        <v>442</v>
      </c>
      <c r="F64" s="17">
        <v>450</v>
      </c>
      <c r="G64" s="7">
        <f>6746/26</f>
        <v>259.46153846153845</v>
      </c>
      <c r="H64" s="7">
        <f>(14039+35356+261+6746)/83</f>
        <v>679.5421686746988</v>
      </c>
      <c r="J64" s="3" t="s">
        <v>5</v>
      </c>
      <c r="K64" s="3">
        <v>371</v>
      </c>
      <c r="L64" s="3">
        <v>374</v>
      </c>
      <c r="M64" s="3">
        <v>384</v>
      </c>
      <c r="N64" s="4">
        <v>398</v>
      </c>
      <c r="O64" s="17">
        <v>412</v>
      </c>
      <c r="P64" s="7">
        <f>6746/26</f>
        <v>259.46153846153845</v>
      </c>
      <c r="Q64" s="7">
        <f>(14039+35356+261+6746)/83</f>
        <v>679.5421686746988</v>
      </c>
      <c r="S64" s="3" t="s">
        <v>5</v>
      </c>
      <c r="T64" s="3">
        <v>226</v>
      </c>
      <c r="U64" s="3">
        <v>231</v>
      </c>
      <c r="V64" s="3">
        <v>238</v>
      </c>
      <c r="W64" s="4">
        <v>257</v>
      </c>
      <c r="X64" s="17">
        <v>263</v>
      </c>
      <c r="Y64" s="7">
        <f>6746/26</f>
        <v>259.46153846153845</v>
      </c>
      <c r="Z64" s="7">
        <f>(14039+35356+261+6746)/83</f>
        <v>679.5421686746988</v>
      </c>
      <c r="AB64" s="3" t="s">
        <v>5</v>
      </c>
      <c r="AC64" s="3"/>
      <c r="AD64" s="3"/>
      <c r="AE64" s="3">
        <v>41</v>
      </c>
      <c r="AF64" s="4">
        <v>54</v>
      </c>
      <c r="AG64" s="17">
        <v>78</v>
      </c>
      <c r="AH64" s="7">
        <f>6746/26</f>
        <v>259.46153846153845</v>
      </c>
      <c r="AI64" s="7">
        <f>(14039+35356+261+6746)/83</f>
        <v>679.5421686746988</v>
      </c>
      <c r="AK64" s="3" t="s">
        <v>5</v>
      </c>
      <c r="AL64" s="3">
        <v>230</v>
      </c>
      <c r="AM64" s="3">
        <v>234</v>
      </c>
      <c r="AN64" s="3">
        <v>240</v>
      </c>
      <c r="AO64" s="4">
        <v>239</v>
      </c>
      <c r="AP64" s="17">
        <v>240</v>
      </c>
      <c r="AQ64" s="7">
        <f>6746/26</f>
        <v>259.46153846153845</v>
      </c>
      <c r="AR64" s="7">
        <f>(14039+35356+261+6746)/83</f>
        <v>679.5421686746988</v>
      </c>
      <c r="AT64" s="3" t="s">
        <v>5</v>
      </c>
      <c r="AU64" s="3">
        <v>99</v>
      </c>
      <c r="AV64" s="3">
        <v>102</v>
      </c>
      <c r="AW64" s="3">
        <v>111</v>
      </c>
      <c r="AX64" s="4">
        <v>118</v>
      </c>
      <c r="AY64" s="17">
        <v>118</v>
      </c>
      <c r="AZ64" s="7">
        <f>6746/26</f>
        <v>259.46153846153845</v>
      </c>
      <c r="BA64" s="7">
        <f>(14039+35356+261+6746)/83</f>
        <v>679.5421686746988</v>
      </c>
      <c r="BC64" s="3" t="s">
        <v>5</v>
      </c>
      <c r="BD64" s="3">
        <v>57</v>
      </c>
      <c r="BE64" s="3">
        <v>60</v>
      </c>
      <c r="BF64" s="3">
        <v>63</v>
      </c>
      <c r="BG64" s="4">
        <v>69</v>
      </c>
      <c r="BH64" s="17">
        <v>81</v>
      </c>
      <c r="BI64" s="7">
        <f>6746/26</f>
        <v>259.46153846153845</v>
      </c>
      <c r="BJ64" s="7">
        <f>(14039+35356+261+6746)/83</f>
        <v>679.5421686746988</v>
      </c>
    </row>
    <row r="65" spans="1:62" ht="12.75">
      <c r="A65" s="2" t="s">
        <v>6</v>
      </c>
      <c r="B65" s="3">
        <v>6495</v>
      </c>
      <c r="C65" s="3">
        <v>7112</v>
      </c>
      <c r="D65" s="3">
        <v>7085</v>
      </c>
      <c r="E65" s="4">
        <v>6873</v>
      </c>
      <c r="F65" s="17">
        <v>6833</v>
      </c>
      <c r="G65" s="7">
        <v>4189</v>
      </c>
      <c r="H65" s="7">
        <v>10458</v>
      </c>
      <c r="J65" s="3" t="s">
        <v>6</v>
      </c>
      <c r="K65" s="3">
        <v>4144</v>
      </c>
      <c r="L65" s="3">
        <v>4320</v>
      </c>
      <c r="M65" s="3">
        <v>4300</v>
      </c>
      <c r="N65" s="4">
        <v>4393</v>
      </c>
      <c r="O65" s="17">
        <v>4346</v>
      </c>
      <c r="P65" s="7">
        <v>4189</v>
      </c>
      <c r="Q65" s="7">
        <v>10458</v>
      </c>
      <c r="S65" s="3" t="s">
        <v>6</v>
      </c>
      <c r="T65" s="3">
        <v>2865</v>
      </c>
      <c r="U65" s="3">
        <v>2833</v>
      </c>
      <c r="V65" s="3">
        <v>2849</v>
      </c>
      <c r="W65" s="4">
        <v>2811</v>
      </c>
      <c r="X65" s="17">
        <v>2908</v>
      </c>
      <c r="Y65" s="7">
        <v>4189</v>
      </c>
      <c r="Z65" s="7">
        <v>10458</v>
      </c>
      <c r="AB65" s="3" t="s">
        <v>6</v>
      </c>
      <c r="AC65" s="3"/>
      <c r="AD65" s="3"/>
      <c r="AE65" s="3">
        <v>1115</v>
      </c>
      <c r="AF65" s="4">
        <v>2099</v>
      </c>
      <c r="AG65" s="17">
        <v>3597</v>
      </c>
      <c r="AH65" s="7">
        <v>4189</v>
      </c>
      <c r="AI65" s="7">
        <v>10458</v>
      </c>
      <c r="AK65" s="3" t="s">
        <v>6</v>
      </c>
      <c r="AL65" s="3">
        <v>1933</v>
      </c>
      <c r="AM65" s="3">
        <v>1984</v>
      </c>
      <c r="AN65" s="3">
        <v>1946</v>
      </c>
      <c r="AO65" s="4">
        <v>1928</v>
      </c>
      <c r="AP65" s="17">
        <v>1873</v>
      </c>
      <c r="AQ65" s="7">
        <v>4189</v>
      </c>
      <c r="AR65" s="7">
        <v>10458</v>
      </c>
      <c r="AT65" s="3" t="s">
        <v>6</v>
      </c>
      <c r="AU65" s="3">
        <v>945</v>
      </c>
      <c r="AV65" s="3">
        <v>976</v>
      </c>
      <c r="AW65" s="3">
        <v>1109</v>
      </c>
      <c r="AX65" s="4">
        <v>1163</v>
      </c>
      <c r="AY65" s="17">
        <v>1163</v>
      </c>
      <c r="AZ65" s="7">
        <v>4189</v>
      </c>
      <c r="BA65" s="7">
        <v>10458</v>
      </c>
      <c r="BC65" s="3" t="s">
        <v>6</v>
      </c>
      <c r="BD65" s="3">
        <v>644</v>
      </c>
      <c r="BE65" s="3">
        <v>613</v>
      </c>
      <c r="BF65" s="3">
        <v>604</v>
      </c>
      <c r="BG65" s="4">
        <v>614</v>
      </c>
      <c r="BH65" s="17">
        <v>624</v>
      </c>
      <c r="BI65" s="7">
        <v>4189</v>
      </c>
      <c r="BJ65" s="7">
        <v>10458</v>
      </c>
    </row>
    <row r="66" spans="1:62" ht="12.75">
      <c r="A66" s="48" t="s">
        <v>20</v>
      </c>
      <c r="B66" s="6">
        <v>264</v>
      </c>
      <c r="C66" s="6">
        <v>287</v>
      </c>
      <c r="D66" s="6">
        <v>345</v>
      </c>
      <c r="E66" s="5">
        <v>435</v>
      </c>
      <c r="F66" s="18">
        <v>516</v>
      </c>
      <c r="G66" s="5">
        <v>677.86</v>
      </c>
      <c r="H66" s="6">
        <v>423.74</v>
      </c>
      <c r="I66" s="6"/>
      <c r="J66" s="6" t="s">
        <v>20</v>
      </c>
      <c r="K66" s="6">
        <v>247.24</v>
      </c>
      <c r="L66" s="6">
        <v>275.32</v>
      </c>
      <c r="M66" s="6">
        <v>320.23</v>
      </c>
      <c r="N66" s="5">
        <v>380.9</v>
      </c>
      <c r="O66" s="18">
        <v>478.29</v>
      </c>
      <c r="P66" s="5">
        <v>677.86</v>
      </c>
      <c r="Q66" s="6">
        <v>423.74</v>
      </c>
      <c r="R66" s="6"/>
      <c r="S66" s="6" t="s">
        <v>20</v>
      </c>
      <c r="T66" s="6">
        <v>219</v>
      </c>
      <c r="U66" s="6">
        <v>288</v>
      </c>
      <c r="V66" s="6">
        <v>330</v>
      </c>
      <c r="W66" s="5">
        <v>387</v>
      </c>
      <c r="X66" s="18">
        <v>439</v>
      </c>
      <c r="Y66" s="5">
        <v>677.86</v>
      </c>
      <c r="Z66" s="6">
        <v>423.74</v>
      </c>
      <c r="AA66" s="6"/>
      <c r="AB66" s="6" t="s">
        <v>20</v>
      </c>
      <c r="AC66" s="6"/>
      <c r="AD66" s="6"/>
      <c r="AE66" s="6">
        <v>354.28</v>
      </c>
      <c r="AF66" s="5">
        <v>387.27</v>
      </c>
      <c r="AG66" s="18">
        <v>352</v>
      </c>
      <c r="AH66" s="5">
        <v>677.86</v>
      </c>
      <c r="AI66" s="6">
        <v>423.74</v>
      </c>
      <c r="AJ66" s="6"/>
      <c r="AK66" s="6" t="s">
        <v>20</v>
      </c>
      <c r="AL66" s="6">
        <v>212</v>
      </c>
      <c r="AM66" s="6">
        <v>228</v>
      </c>
      <c r="AN66" s="6">
        <v>276</v>
      </c>
      <c r="AO66" s="5">
        <v>296</v>
      </c>
      <c r="AP66" s="18">
        <v>371</v>
      </c>
      <c r="AQ66" s="5">
        <v>677.86</v>
      </c>
      <c r="AR66" s="6">
        <v>423.74</v>
      </c>
      <c r="AS66" s="6"/>
      <c r="AT66" s="6" t="s">
        <v>20</v>
      </c>
      <c r="AU66" s="6">
        <v>246.41</v>
      </c>
      <c r="AV66" s="6">
        <v>261.17</v>
      </c>
      <c r="AW66" s="6">
        <v>308.94</v>
      </c>
      <c r="AX66" s="5">
        <v>306.35</v>
      </c>
      <c r="AY66" s="18">
        <v>326</v>
      </c>
      <c r="AZ66" s="5">
        <v>677.86</v>
      </c>
      <c r="BA66" s="6">
        <v>423.74</v>
      </c>
      <c r="BB66" s="6"/>
      <c r="BC66" s="6" t="s">
        <v>20</v>
      </c>
      <c r="BD66" s="6">
        <v>104.49</v>
      </c>
      <c r="BE66" s="33">
        <v>115.38</v>
      </c>
      <c r="BF66" s="6">
        <v>124.56</v>
      </c>
      <c r="BG66" s="5">
        <v>162.32</v>
      </c>
      <c r="BH66" s="18">
        <v>225</v>
      </c>
      <c r="BI66" s="5">
        <v>677.86</v>
      </c>
      <c r="BJ66" s="6">
        <v>423.74</v>
      </c>
    </row>
    <row r="67" spans="1:62" ht="12.75">
      <c r="A67" s="48" t="s">
        <v>56</v>
      </c>
      <c r="B67" s="6">
        <v>4</v>
      </c>
      <c r="C67" s="6">
        <v>5</v>
      </c>
      <c r="D67" s="5">
        <v>6</v>
      </c>
      <c r="E67" s="5">
        <v>2</v>
      </c>
      <c r="F67" s="18">
        <v>3</v>
      </c>
      <c r="G67" s="5">
        <v>4.6</v>
      </c>
      <c r="H67" s="6">
        <v>2.84</v>
      </c>
      <c r="I67" s="6"/>
      <c r="J67" s="6" t="s">
        <v>56</v>
      </c>
      <c r="K67" s="6">
        <v>2.2</v>
      </c>
      <c r="L67" s="6">
        <v>2.55</v>
      </c>
      <c r="M67" s="5">
        <v>3.1</v>
      </c>
      <c r="N67" s="5">
        <v>3.35</v>
      </c>
      <c r="O67" s="18">
        <v>4.05</v>
      </c>
      <c r="P67" s="5">
        <v>4.6</v>
      </c>
      <c r="Q67" s="6">
        <v>2.84</v>
      </c>
      <c r="R67" s="6"/>
      <c r="S67" s="6" t="s">
        <v>56</v>
      </c>
      <c r="T67" s="6">
        <v>3.79</v>
      </c>
      <c r="U67" s="6">
        <v>4.41</v>
      </c>
      <c r="V67" s="5">
        <v>5.65</v>
      </c>
      <c r="W67" s="5">
        <v>3.75</v>
      </c>
      <c r="X67" s="18">
        <v>4.65</v>
      </c>
      <c r="Y67" s="5">
        <v>4.6</v>
      </c>
      <c r="Z67" s="6">
        <v>2.84</v>
      </c>
      <c r="AA67" s="6"/>
      <c r="AB67" s="6" t="s">
        <v>56</v>
      </c>
      <c r="AC67" s="6"/>
      <c r="AD67" s="6"/>
      <c r="AE67" s="5">
        <v>10.25</v>
      </c>
      <c r="AF67" s="5">
        <v>5.37</v>
      </c>
      <c r="AG67" s="18">
        <v>4.15</v>
      </c>
      <c r="AH67" s="5">
        <v>4.6</v>
      </c>
      <c r="AI67" s="6">
        <v>2.84</v>
      </c>
      <c r="AJ67" s="6"/>
      <c r="AK67" s="6" t="s">
        <v>56</v>
      </c>
      <c r="AL67" s="6">
        <v>1.56</v>
      </c>
      <c r="AM67" s="6">
        <v>1.72</v>
      </c>
      <c r="AN67" s="5">
        <v>2.11</v>
      </c>
      <c r="AO67" s="5">
        <v>0.17</v>
      </c>
      <c r="AP67" s="18">
        <v>1.2</v>
      </c>
      <c r="AQ67" s="5">
        <v>4.6</v>
      </c>
      <c r="AR67" s="6">
        <v>2.84</v>
      </c>
      <c r="AS67" s="6"/>
      <c r="AT67" s="6" t="s">
        <v>56</v>
      </c>
      <c r="AU67" s="6">
        <v>2.09</v>
      </c>
      <c r="AV67" s="6">
        <v>2.36</v>
      </c>
      <c r="AW67" s="5">
        <v>2.37</v>
      </c>
      <c r="AX67" s="5">
        <v>0</v>
      </c>
      <c r="AY67" s="18">
        <v>0.3</v>
      </c>
      <c r="AZ67" s="5">
        <v>4.6</v>
      </c>
      <c r="BA67" s="6">
        <v>2.84</v>
      </c>
      <c r="BB67" s="6"/>
      <c r="BC67" s="6" t="s">
        <v>56</v>
      </c>
      <c r="BD67" s="6">
        <v>0.89</v>
      </c>
      <c r="BE67" s="33">
        <v>1.17</v>
      </c>
      <c r="BF67" s="5">
        <v>1.91</v>
      </c>
      <c r="BG67" s="5">
        <v>2</v>
      </c>
      <c r="BH67" s="18">
        <v>2</v>
      </c>
      <c r="BI67" s="5">
        <v>4.6</v>
      </c>
      <c r="BJ67" s="6">
        <v>2.84</v>
      </c>
    </row>
    <row r="68" spans="1:62" ht="12.75">
      <c r="A68" s="2"/>
      <c r="B68" s="3"/>
      <c r="C68" s="3"/>
      <c r="D68" s="3"/>
      <c r="E68" s="4"/>
      <c r="F68" s="17"/>
      <c r="G68" s="3"/>
      <c r="J68" s="3"/>
      <c r="K68" s="3"/>
      <c r="L68" s="3"/>
      <c r="M68" s="3"/>
      <c r="N68" s="4"/>
      <c r="O68" s="17"/>
      <c r="P68" s="3"/>
      <c r="Q68" s="3"/>
      <c r="S68" s="3"/>
      <c r="T68" s="3"/>
      <c r="U68" s="3"/>
      <c r="V68" s="3"/>
      <c r="W68" s="4"/>
      <c r="X68" s="17"/>
      <c r="Y68" s="3"/>
      <c r="Z68" s="3"/>
      <c r="AB68" s="3"/>
      <c r="AC68" s="3"/>
      <c r="AD68" s="3"/>
      <c r="AE68" s="3"/>
      <c r="AF68" s="4"/>
      <c r="AG68" s="17"/>
      <c r="AH68" s="3"/>
      <c r="AI68" s="3"/>
      <c r="AK68" s="3"/>
      <c r="AL68" s="3"/>
      <c r="AM68" s="3"/>
      <c r="AN68" s="3"/>
      <c r="AO68" s="4"/>
      <c r="AP68" s="17"/>
      <c r="AQ68" s="3"/>
      <c r="AR68" s="3"/>
      <c r="AT68" s="3"/>
      <c r="AU68" s="3"/>
      <c r="AV68" s="3"/>
      <c r="AW68" s="3"/>
      <c r="AX68" s="4"/>
      <c r="AY68" s="17"/>
      <c r="AZ68" s="3"/>
      <c r="BA68" s="3"/>
      <c r="BC68" s="3"/>
      <c r="BD68" s="3"/>
      <c r="BE68" s="3"/>
      <c r="BF68" s="3"/>
      <c r="BG68" s="4"/>
      <c r="BH68" s="17"/>
      <c r="BI68" s="3"/>
      <c r="BJ68" s="3"/>
    </row>
    <row r="69" spans="1:62" ht="12.75">
      <c r="A69" s="2" t="s">
        <v>119</v>
      </c>
      <c r="B69" s="3">
        <f>48+889</f>
        <v>937</v>
      </c>
      <c r="C69" s="3">
        <f>48+1194</f>
        <v>1242</v>
      </c>
      <c r="D69" s="3">
        <f>48+1546</f>
        <v>1594</v>
      </c>
      <c r="E69" s="4">
        <f>48+1617</f>
        <v>1665</v>
      </c>
      <c r="F69" s="17">
        <v>1799</v>
      </c>
      <c r="G69" s="7">
        <f>(3910+39819)/26</f>
        <v>1681.8846153846155</v>
      </c>
      <c r="H69" s="7">
        <f>(25180+157847)/83</f>
        <v>2205.144578313253</v>
      </c>
      <c r="J69" s="3" t="s">
        <v>119</v>
      </c>
      <c r="K69" s="3">
        <f>14+428</f>
        <v>442</v>
      </c>
      <c r="L69" s="3">
        <f>40+543</f>
        <v>583</v>
      </c>
      <c r="M69" s="3">
        <f>40+658</f>
        <v>698</v>
      </c>
      <c r="N69" s="4">
        <f>121+857</f>
        <v>978</v>
      </c>
      <c r="O69" s="17">
        <v>1111</v>
      </c>
      <c r="P69" s="7">
        <f>(3910+39819)/26</f>
        <v>1681.8846153846155</v>
      </c>
      <c r="Q69" s="7">
        <f>(25180+157847)/83</f>
        <v>2205.144578313253</v>
      </c>
      <c r="S69" s="3" t="s">
        <v>119</v>
      </c>
      <c r="T69" s="3">
        <f>6+424</f>
        <v>430</v>
      </c>
      <c r="U69" s="3">
        <f>16+542</f>
        <v>558</v>
      </c>
      <c r="V69" s="3">
        <f>18+694</f>
        <v>712</v>
      </c>
      <c r="W69" s="4">
        <f>18+743</f>
        <v>761</v>
      </c>
      <c r="X69" s="17">
        <v>872</v>
      </c>
      <c r="Y69" s="7">
        <f>(3910+39819)/26</f>
        <v>1681.8846153846155</v>
      </c>
      <c r="Z69" s="7">
        <f>(25180+157847)/83</f>
        <v>2205.144578313253</v>
      </c>
      <c r="AB69" s="3" t="s">
        <v>119</v>
      </c>
      <c r="AC69" s="3"/>
      <c r="AD69" s="3"/>
      <c r="AE69" s="3">
        <f>60+546</f>
        <v>606</v>
      </c>
      <c r="AF69" s="4">
        <f>123+634</f>
        <v>757</v>
      </c>
      <c r="AG69" s="17">
        <v>865</v>
      </c>
      <c r="AH69" s="7">
        <f>(3910+39819)/26</f>
        <v>1681.8846153846155</v>
      </c>
      <c r="AI69" s="7">
        <f>(25180+157847)/83</f>
        <v>2205.144578313253</v>
      </c>
      <c r="AK69" s="3" t="s">
        <v>119</v>
      </c>
      <c r="AL69" s="3">
        <f>12+153</f>
        <v>165</v>
      </c>
      <c r="AM69" s="3">
        <f>12+181</f>
        <v>193</v>
      </c>
      <c r="AN69" s="3">
        <f>12+215</f>
        <v>227</v>
      </c>
      <c r="AO69" s="4">
        <f>12+218</f>
        <v>230</v>
      </c>
      <c r="AP69" s="17">
        <v>291</v>
      </c>
      <c r="AQ69" s="7">
        <f>(3910+39819)/26</f>
        <v>1681.8846153846155</v>
      </c>
      <c r="AR69" s="7">
        <f>(25180+157847)/83</f>
        <v>2205.144578313253</v>
      </c>
      <c r="AT69" s="3" t="s">
        <v>119</v>
      </c>
      <c r="AU69" s="3">
        <f>57+52</f>
        <v>109</v>
      </c>
      <c r="AV69" s="3">
        <f>57+63</f>
        <v>120</v>
      </c>
      <c r="AW69" s="3">
        <f>57+81</f>
        <v>138</v>
      </c>
      <c r="AX69" s="4">
        <f>94+87</f>
        <v>181</v>
      </c>
      <c r="AY69" s="17">
        <v>183</v>
      </c>
      <c r="AZ69" s="7">
        <f>(3910+39819)/26</f>
        <v>1681.8846153846155</v>
      </c>
      <c r="BA69" s="7">
        <f>(25180+157847)/83</f>
        <v>2205.144578313253</v>
      </c>
      <c r="BC69" s="3" t="s">
        <v>119</v>
      </c>
      <c r="BD69" s="3">
        <f>5+26</f>
        <v>31</v>
      </c>
      <c r="BE69" s="3">
        <f>15+43</f>
        <v>58</v>
      </c>
      <c r="BF69" s="3">
        <f>15+52</f>
        <v>67</v>
      </c>
      <c r="BG69" s="4">
        <f>15+61</f>
        <v>76</v>
      </c>
      <c r="BH69" s="17">
        <v>113</v>
      </c>
      <c r="BI69" s="7">
        <f>(3910+39819)/26</f>
        <v>1681.8846153846155</v>
      </c>
      <c r="BJ69" s="7">
        <f>(25180+157847)/83</f>
        <v>2205.144578313253</v>
      </c>
    </row>
    <row r="70" spans="1:62" ht="12.75">
      <c r="A70" s="2" t="s">
        <v>7</v>
      </c>
      <c r="B70" s="3">
        <v>12911</v>
      </c>
      <c r="C70" s="3">
        <v>14675</v>
      </c>
      <c r="D70" s="4">
        <v>18661</v>
      </c>
      <c r="E70" s="4">
        <v>21645</v>
      </c>
      <c r="F70" s="17">
        <v>23485</v>
      </c>
      <c r="G70" s="7">
        <f>426247/26</f>
        <v>16394.115384615383</v>
      </c>
      <c r="H70" s="7">
        <f>2162472/83</f>
        <v>26053.87951807229</v>
      </c>
      <c r="J70" s="3" t="s">
        <v>7</v>
      </c>
      <c r="K70" s="3">
        <v>7001</v>
      </c>
      <c r="L70" s="3">
        <v>8292</v>
      </c>
      <c r="M70" s="4">
        <v>9407</v>
      </c>
      <c r="N70" s="4">
        <v>10837</v>
      </c>
      <c r="O70" s="17">
        <v>13243</v>
      </c>
      <c r="P70" s="7">
        <f>426247/26</f>
        <v>16394.115384615383</v>
      </c>
      <c r="Q70" s="7">
        <f>2162472/83</f>
        <v>26053.87951807229</v>
      </c>
      <c r="S70" s="3" t="s">
        <v>7</v>
      </c>
      <c r="T70" s="3">
        <v>4180</v>
      </c>
      <c r="U70" s="3">
        <v>5122</v>
      </c>
      <c r="V70" s="4">
        <v>5911</v>
      </c>
      <c r="W70" s="4">
        <v>6672</v>
      </c>
      <c r="X70" s="17">
        <v>7576</v>
      </c>
      <c r="Y70" s="7">
        <f>426247/26</f>
        <v>16394.115384615383</v>
      </c>
      <c r="Z70" s="7">
        <f>2162472/83</f>
        <v>26053.87951807229</v>
      </c>
      <c r="AB70" s="3" t="s">
        <v>7</v>
      </c>
      <c r="AC70" s="3"/>
      <c r="AD70" s="3"/>
      <c r="AE70" s="4">
        <v>4459</v>
      </c>
      <c r="AF70" s="4">
        <v>4300</v>
      </c>
      <c r="AG70" s="17">
        <v>6566</v>
      </c>
      <c r="AH70" s="7">
        <f>426247/26</f>
        <v>16394.115384615383</v>
      </c>
      <c r="AI70" s="7">
        <f>2162472/83</f>
        <v>26053.87951807229</v>
      </c>
      <c r="AK70" s="3" t="s">
        <v>7</v>
      </c>
      <c r="AL70" s="3">
        <v>2477</v>
      </c>
      <c r="AM70" s="3">
        <v>2771</v>
      </c>
      <c r="AN70" s="4">
        <v>3296</v>
      </c>
      <c r="AO70" s="4">
        <v>3496</v>
      </c>
      <c r="AP70" s="17">
        <v>4336</v>
      </c>
      <c r="AQ70" s="7">
        <f>426247/26</f>
        <v>16394.115384615383</v>
      </c>
      <c r="AR70" s="7">
        <f>2162472/83</f>
        <v>26053.87951807229</v>
      </c>
      <c r="AT70" s="3" t="s">
        <v>7</v>
      </c>
      <c r="AU70" s="3">
        <v>1502</v>
      </c>
      <c r="AV70" s="3">
        <v>1663</v>
      </c>
      <c r="AW70" s="4">
        <v>2311</v>
      </c>
      <c r="AX70" s="4">
        <v>2176</v>
      </c>
      <c r="AY70" s="17">
        <v>2279</v>
      </c>
      <c r="AZ70" s="7">
        <f>426247/26</f>
        <v>16394.115384615383</v>
      </c>
      <c r="BA70" s="7">
        <f>2162472/83</f>
        <v>26053.87951807229</v>
      </c>
      <c r="BC70" s="3" t="s">
        <v>7</v>
      </c>
      <c r="BD70" s="3">
        <v>608</v>
      </c>
      <c r="BE70" s="3">
        <v>669</v>
      </c>
      <c r="BF70" s="4">
        <v>759</v>
      </c>
      <c r="BG70" s="4">
        <v>933</v>
      </c>
      <c r="BH70" s="17">
        <v>1125</v>
      </c>
      <c r="BI70" s="7">
        <f>426247/26</f>
        <v>16394.115384615383</v>
      </c>
      <c r="BJ70" s="7">
        <f>2162472/83</f>
        <v>26053.87951807229</v>
      </c>
    </row>
    <row r="71" spans="1:62" ht="12.75">
      <c r="A71" s="2" t="s">
        <v>8</v>
      </c>
      <c r="B71" s="3">
        <v>5753</v>
      </c>
      <c r="C71" s="4">
        <v>6738</v>
      </c>
      <c r="D71" s="4">
        <v>8451</v>
      </c>
      <c r="E71" s="4">
        <v>9032</v>
      </c>
      <c r="F71" s="17">
        <v>9002</v>
      </c>
      <c r="G71" s="7">
        <f>179662/26</f>
        <v>6910.076923076923</v>
      </c>
      <c r="H71" s="7">
        <f>866961/83</f>
        <v>10445.313253012047</v>
      </c>
      <c r="J71" s="3" t="s">
        <v>8</v>
      </c>
      <c r="K71" s="3">
        <v>3467</v>
      </c>
      <c r="L71" s="4">
        <v>4433</v>
      </c>
      <c r="M71" s="4">
        <v>4879</v>
      </c>
      <c r="N71" s="4">
        <v>4556</v>
      </c>
      <c r="O71" s="17">
        <v>5549</v>
      </c>
      <c r="P71" s="7">
        <f>179662/26</f>
        <v>6910.076923076923</v>
      </c>
      <c r="Q71" s="7">
        <f>866961/83</f>
        <v>10445.313253012047</v>
      </c>
      <c r="S71" s="3" t="s">
        <v>8</v>
      </c>
      <c r="T71" s="3">
        <v>1539</v>
      </c>
      <c r="U71" s="4">
        <v>1850</v>
      </c>
      <c r="V71" s="4">
        <v>2173</v>
      </c>
      <c r="W71" s="4">
        <v>2219</v>
      </c>
      <c r="X71" s="17">
        <v>2298</v>
      </c>
      <c r="Y71" s="7">
        <f>179662/26</f>
        <v>6910.076923076923</v>
      </c>
      <c r="Z71" s="7">
        <f>866961/83</f>
        <v>10445.313253012047</v>
      </c>
      <c r="AB71" s="3" t="s">
        <v>8</v>
      </c>
      <c r="AC71" s="3"/>
      <c r="AD71" s="3"/>
      <c r="AE71" s="4">
        <v>2883</v>
      </c>
      <c r="AF71" s="4">
        <v>1827</v>
      </c>
      <c r="AG71" s="17">
        <v>2856</v>
      </c>
      <c r="AH71" s="7">
        <f>179662/26</f>
        <v>6910.076923076923</v>
      </c>
      <c r="AI71" s="7">
        <f>866961/83</f>
        <v>10445.313253012047</v>
      </c>
      <c r="AK71" s="3" t="s">
        <v>8</v>
      </c>
      <c r="AL71" s="3">
        <v>904</v>
      </c>
      <c r="AM71" s="4">
        <v>1037</v>
      </c>
      <c r="AN71" s="4">
        <v>1338</v>
      </c>
      <c r="AO71" s="4">
        <v>1181</v>
      </c>
      <c r="AP71" s="17">
        <v>1280</v>
      </c>
      <c r="AQ71" s="7">
        <f>179662/26</f>
        <v>6910.076923076923</v>
      </c>
      <c r="AR71" s="7">
        <f>866961/83</f>
        <v>10445.313253012047</v>
      </c>
      <c r="AT71" s="3" t="s">
        <v>8</v>
      </c>
      <c r="AU71" s="3">
        <v>629</v>
      </c>
      <c r="AV71" s="4">
        <v>663</v>
      </c>
      <c r="AW71" s="4">
        <v>1047</v>
      </c>
      <c r="AX71" s="4">
        <v>847</v>
      </c>
      <c r="AY71" s="17">
        <v>789</v>
      </c>
      <c r="AZ71" s="7">
        <f>179662/26</f>
        <v>6910.076923076923</v>
      </c>
      <c r="BA71" s="7">
        <f>866961/83</f>
        <v>10445.313253012047</v>
      </c>
      <c r="BC71" s="3" t="s">
        <v>8</v>
      </c>
      <c r="BD71" s="3">
        <v>332</v>
      </c>
      <c r="BE71" s="3">
        <v>349</v>
      </c>
      <c r="BF71" s="4">
        <v>410</v>
      </c>
      <c r="BG71" s="4">
        <v>421</v>
      </c>
      <c r="BH71" s="17">
        <v>372</v>
      </c>
      <c r="BI71" s="7">
        <f>179662/26</f>
        <v>6910.076923076923</v>
      </c>
      <c r="BJ71" s="7">
        <f>866961/83</f>
        <v>10445.313253012047</v>
      </c>
    </row>
    <row r="72" spans="1:62" ht="12.75">
      <c r="A72" s="2" t="s">
        <v>9</v>
      </c>
      <c r="B72" s="3">
        <v>6424</v>
      </c>
      <c r="C72" s="4">
        <v>8011</v>
      </c>
      <c r="D72" s="4">
        <v>9285</v>
      </c>
      <c r="E72" s="4">
        <v>11517</v>
      </c>
      <c r="F72" s="17">
        <v>14483</v>
      </c>
      <c r="G72" s="7">
        <f>311986/26</f>
        <v>11999.461538461539</v>
      </c>
      <c r="H72" s="7">
        <f>1515667/83</f>
        <v>18261.048192771083</v>
      </c>
      <c r="J72" s="3" t="s">
        <v>9</v>
      </c>
      <c r="K72" s="3">
        <v>3418</v>
      </c>
      <c r="L72" s="4">
        <v>3900</v>
      </c>
      <c r="M72" s="4">
        <v>4668</v>
      </c>
      <c r="N72" s="4">
        <v>6287</v>
      </c>
      <c r="O72" s="17">
        <v>7792</v>
      </c>
      <c r="P72" s="7">
        <f>311986/26</f>
        <v>11999.461538461539</v>
      </c>
      <c r="Q72" s="7">
        <f>1515667/83</f>
        <v>18261.048192771083</v>
      </c>
      <c r="S72" s="3" t="s">
        <v>9</v>
      </c>
      <c r="T72" s="3">
        <v>2460</v>
      </c>
      <c r="U72" s="4">
        <v>3344</v>
      </c>
      <c r="V72" s="4">
        <v>4023</v>
      </c>
      <c r="W72" s="4">
        <v>4620</v>
      </c>
      <c r="X72" s="17">
        <v>5555</v>
      </c>
      <c r="Y72" s="7">
        <f>311986/26</f>
        <v>11999.461538461539</v>
      </c>
      <c r="Z72" s="7">
        <f>1515667/83</f>
        <v>18261.048192771083</v>
      </c>
      <c r="AB72" s="3" t="s">
        <v>9</v>
      </c>
      <c r="AC72" s="3"/>
      <c r="AD72" s="3"/>
      <c r="AE72" s="4">
        <v>2097</v>
      </c>
      <c r="AF72" s="4">
        <v>4017</v>
      </c>
      <c r="AG72" s="17">
        <v>6349</v>
      </c>
      <c r="AH72" s="7">
        <f>311986/26</f>
        <v>11999.461538461539</v>
      </c>
      <c r="AI72" s="7">
        <f>1515667/83</f>
        <v>18261.048192771083</v>
      </c>
      <c r="AK72" s="3" t="s">
        <v>9</v>
      </c>
      <c r="AL72" s="3">
        <v>1565</v>
      </c>
      <c r="AM72" s="4">
        <v>1764</v>
      </c>
      <c r="AN72" s="4">
        <v>2039</v>
      </c>
      <c r="AO72" s="4">
        <v>2318</v>
      </c>
      <c r="AP72" s="17">
        <v>2953</v>
      </c>
      <c r="AQ72" s="7">
        <f>311986/26</f>
        <v>11999.461538461539</v>
      </c>
      <c r="AR72" s="7">
        <f>1515667/83</f>
        <v>18261.048192771083</v>
      </c>
      <c r="AT72" s="3" t="s">
        <v>9</v>
      </c>
      <c r="AU72" s="3">
        <v>826</v>
      </c>
      <c r="AV72" s="4">
        <v>915</v>
      </c>
      <c r="AW72" s="4">
        <v>1118</v>
      </c>
      <c r="AX72" s="4">
        <v>1387</v>
      </c>
      <c r="AY72" s="17">
        <v>1421</v>
      </c>
      <c r="AZ72" s="7">
        <f>311986/26</f>
        <v>11999.461538461539</v>
      </c>
      <c r="BA72" s="7">
        <f>1515667/83</f>
        <v>18261.048192771083</v>
      </c>
      <c r="BC72" s="3" t="s">
        <v>9</v>
      </c>
      <c r="BD72" s="3">
        <v>131</v>
      </c>
      <c r="BE72" s="3">
        <v>172</v>
      </c>
      <c r="BF72" s="4">
        <v>236</v>
      </c>
      <c r="BG72" s="4">
        <v>363</v>
      </c>
      <c r="BH72" s="17">
        <v>603</v>
      </c>
      <c r="BI72" s="7">
        <f>311986/26</f>
        <v>11999.461538461539</v>
      </c>
      <c r="BJ72" s="7">
        <f>1515667/83</f>
        <v>18261.048192771083</v>
      </c>
    </row>
    <row r="73" spans="1:62" ht="12.75">
      <c r="A73" s="2"/>
      <c r="B73" s="3"/>
      <c r="C73" s="3"/>
      <c r="D73" s="3"/>
      <c r="E73" s="4"/>
      <c r="F73" s="17"/>
      <c r="G73" s="7"/>
      <c r="H73" s="7"/>
      <c r="J73" s="3"/>
      <c r="K73" s="3"/>
      <c r="L73" s="3"/>
      <c r="M73" s="3"/>
      <c r="N73" s="4"/>
      <c r="O73" s="17"/>
      <c r="P73" s="7"/>
      <c r="Q73" s="7"/>
      <c r="S73" s="3"/>
      <c r="T73" s="3"/>
      <c r="U73" s="3"/>
      <c r="V73" s="3"/>
      <c r="W73" s="4"/>
      <c r="X73" s="17"/>
      <c r="Y73" s="7"/>
      <c r="Z73" s="7"/>
      <c r="AB73" s="3"/>
      <c r="AC73" s="3"/>
      <c r="AD73" s="3"/>
      <c r="AE73" s="3"/>
      <c r="AF73" s="4"/>
      <c r="AG73" s="17"/>
      <c r="AH73" s="7"/>
      <c r="AI73" s="7"/>
      <c r="AK73" s="3"/>
      <c r="AL73" s="3"/>
      <c r="AM73" s="3"/>
      <c r="AN73" s="3"/>
      <c r="AO73" s="4"/>
      <c r="AP73" s="17"/>
      <c r="AQ73" s="7"/>
      <c r="AR73" s="7"/>
      <c r="AT73" s="3"/>
      <c r="AU73" s="3"/>
      <c r="AV73" s="3"/>
      <c r="AW73" s="3"/>
      <c r="AX73" s="4"/>
      <c r="AY73" s="17"/>
      <c r="AZ73" s="7"/>
      <c r="BA73" s="7"/>
      <c r="BC73" s="3"/>
      <c r="BD73" s="3"/>
      <c r="BE73" s="3"/>
      <c r="BF73" s="3"/>
      <c r="BG73" s="4"/>
      <c r="BH73" s="17"/>
      <c r="BI73" s="7"/>
      <c r="BJ73" s="7"/>
    </row>
    <row r="74" spans="1:62" ht="12.75">
      <c r="A74" s="2" t="s">
        <v>10</v>
      </c>
      <c r="B74" s="4">
        <v>1354</v>
      </c>
      <c r="C74" s="4">
        <v>1427</v>
      </c>
      <c r="D74" s="3">
        <f>1521</f>
        <v>1521</v>
      </c>
      <c r="E74" s="4">
        <v>1549</v>
      </c>
      <c r="F74" s="17">
        <v>1706</v>
      </c>
      <c r="G74" s="7">
        <f>34530/26</f>
        <v>1328.076923076923</v>
      </c>
      <c r="H74" s="7">
        <f>184377/83</f>
        <v>2221.409638554217</v>
      </c>
      <c r="J74" s="3" t="s">
        <v>10</v>
      </c>
      <c r="K74" s="4">
        <v>743</v>
      </c>
      <c r="L74" s="4">
        <v>811</v>
      </c>
      <c r="M74" s="4">
        <v>848</v>
      </c>
      <c r="N74" s="4">
        <v>840</v>
      </c>
      <c r="O74" s="17">
        <v>1018</v>
      </c>
      <c r="P74" s="7">
        <f>34530/26</f>
        <v>1328.076923076923</v>
      </c>
      <c r="Q74" s="7">
        <f>184377/83</f>
        <v>2221.409638554217</v>
      </c>
      <c r="S74" s="3" t="s">
        <v>10</v>
      </c>
      <c r="T74" s="4">
        <v>482</v>
      </c>
      <c r="U74" s="4">
        <v>516</v>
      </c>
      <c r="V74" s="4">
        <v>648</v>
      </c>
      <c r="W74" s="4">
        <v>591</v>
      </c>
      <c r="X74" s="17">
        <v>650</v>
      </c>
      <c r="Y74" s="7">
        <f>34530/26</f>
        <v>1328.076923076923</v>
      </c>
      <c r="Z74" s="7">
        <f>184377/83</f>
        <v>2221.409638554217</v>
      </c>
      <c r="AB74" s="3" t="s">
        <v>10</v>
      </c>
      <c r="AC74" s="4"/>
      <c r="AD74" s="4"/>
      <c r="AE74" s="4">
        <v>288</v>
      </c>
      <c r="AF74" s="4">
        <v>420</v>
      </c>
      <c r="AG74" s="17">
        <v>694</v>
      </c>
      <c r="AH74" s="7">
        <f>34530/26</f>
        <v>1328.076923076923</v>
      </c>
      <c r="AI74" s="7">
        <f>184377/83</f>
        <v>2221.409638554217</v>
      </c>
      <c r="AK74" s="3" t="s">
        <v>10</v>
      </c>
      <c r="AL74" s="4">
        <v>272</v>
      </c>
      <c r="AM74" s="4">
        <v>271</v>
      </c>
      <c r="AN74" s="4">
        <v>286</v>
      </c>
      <c r="AO74" s="4">
        <v>298</v>
      </c>
      <c r="AP74" s="17">
        <v>322</v>
      </c>
      <c r="AQ74" s="7">
        <f>34530/26</f>
        <v>1328.076923076923</v>
      </c>
      <c r="AR74" s="7">
        <f>184377/83</f>
        <v>2221.409638554217</v>
      </c>
      <c r="AT74" s="3" t="s">
        <v>10</v>
      </c>
      <c r="AU74" s="4">
        <v>144</v>
      </c>
      <c r="AV74" s="4">
        <v>156</v>
      </c>
      <c r="AW74" s="4">
        <v>166</v>
      </c>
      <c r="AX74" s="4">
        <v>195</v>
      </c>
      <c r="AY74" s="17">
        <v>184</v>
      </c>
      <c r="AZ74" s="7">
        <f>34530/26</f>
        <v>1328.076923076923</v>
      </c>
      <c r="BA74" s="7">
        <f>184377/83</f>
        <v>2221.409638554217</v>
      </c>
      <c r="BC74" s="3" t="s">
        <v>10</v>
      </c>
      <c r="BD74" s="4">
        <v>63</v>
      </c>
      <c r="BE74" s="4">
        <v>67</v>
      </c>
      <c r="BF74" s="4">
        <v>70</v>
      </c>
      <c r="BG74" s="4">
        <v>74</v>
      </c>
      <c r="BH74" s="17">
        <v>92</v>
      </c>
      <c r="BI74" s="7">
        <f>34530/26</f>
        <v>1328.076923076923</v>
      </c>
      <c r="BJ74" s="7">
        <f>184377/83</f>
        <v>2221.409638554217</v>
      </c>
    </row>
    <row r="75" spans="1:62" ht="12.75">
      <c r="A75" s="2" t="s">
        <v>11</v>
      </c>
      <c r="B75" s="4">
        <v>257</v>
      </c>
      <c r="C75" s="4">
        <v>287</v>
      </c>
      <c r="D75" s="4">
        <v>302</v>
      </c>
      <c r="E75" s="4">
        <v>96</v>
      </c>
      <c r="F75" s="17">
        <v>133</v>
      </c>
      <c r="G75" s="7">
        <f>9160/26</f>
        <v>352.3076923076923</v>
      </c>
      <c r="H75" s="7">
        <f>37693/83</f>
        <v>454.13253012048193</v>
      </c>
      <c r="J75" s="3" t="s">
        <v>11</v>
      </c>
      <c r="K75" s="4">
        <v>241</v>
      </c>
      <c r="L75" s="4">
        <v>239</v>
      </c>
      <c r="M75" s="4">
        <v>270</v>
      </c>
      <c r="N75" s="4">
        <v>221</v>
      </c>
      <c r="O75" s="17">
        <v>167</v>
      </c>
      <c r="P75" s="7">
        <f>9160/26</f>
        <v>352.3076923076923</v>
      </c>
      <c r="Q75" s="7">
        <f>37693/83</f>
        <v>454.13253012048193</v>
      </c>
      <c r="S75" s="3" t="s">
        <v>11</v>
      </c>
      <c r="T75" s="4">
        <v>105</v>
      </c>
      <c r="U75" s="4">
        <v>132</v>
      </c>
      <c r="V75" s="4">
        <v>74</v>
      </c>
      <c r="W75" s="4">
        <v>113</v>
      </c>
      <c r="X75" s="17">
        <v>143</v>
      </c>
      <c r="Y75" s="7">
        <f>9160/26</f>
        <v>352.3076923076923</v>
      </c>
      <c r="Z75" s="7">
        <f>37693/83</f>
        <v>454.13253012048193</v>
      </c>
      <c r="AB75" s="3" t="s">
        <v>11</v>
      </c>
      <c r="AC75" s="4"/>
      <c r="AD75" s="4"/>
      <c r="AE75" s="4">
        <v>95</v>
      </c>
      <c r="AF75" s="4">
        <v>132</v>
      </c>
      <c r="AG75" s="17">
        <v>243</v>
      </c>
      <c r="AH75" s="7">
        <f>9160/26</f>
        <v>352.3076923076923</v>
      </c>
      <c r="AI75" s="7">
        <f>37693/83</f>
        <v>454.13253012048193</v>
      </c>
      <c r="AK75" s="3" t="s">
        <v>11</v>
      </c>
      <c r="AL75" s="4">
        <v>86</v>
      </c>
      <c r="AM75" s="4">
        <v>84</v>
      </c>
      <c r="AN75" s="4">
        <v>87</v>
      </c>
      <c r="AO75" s="4">
        <v>38</v>
      </c>
      <c r="AP75" s="17">
        <v>46</v>
      </c>
      <c r="AQ75" s="7">
        <f>9160/26</f>
        <v>352.3076923076923</v>
      </c>
      <c r="AR75" s="7">
        <f>37693/83</f>
        <v>454.13253012048193</v>
      </c>
      <c r="AT75" s="3" t="s">
        <v>11</v>
      </c>
      <c r="AU75" s="4">
        <v>75</v>
      </c>
      <c r="AV75" s="4">
        <v>67</v>
      </c>
      <c r="AW75" s="4">
        <v>68</v>
      </c>
      <c r="AX75" s="4">
        <v>1</v>
      </c>
      <c r="AY75" s="17">
        <v>27</v>
      </c>
      <c r="AZ75" s="7">
        <f>9160/26</f>
        <v>352.3076923076923</v>
      </c>
      <c r="BA75" s="7">
        <f>37693/83</f>
        <v>454.13253012048193</v>
      </c>
      <c r="BC75" s="3" t="s">
        <v>11</v>
      </c>
      <c r="BD75" s="4">
        <v>3</v>
      </c>
      <c r="BE75" s="4">
        <v>5</v>
      </c>
      <c r="BF75" s="4">
        <v>13</v>
      </c>
      <c r="BG75" s="4">
        <v>9</v>
      </c>
      <c r="BH75" s="17">
        <v>13</v>
      </c>
      <c r="BI75" s="7">
        <f>9160/26</f>
        <v>352.3076923076923</v>
      </c>
      <c r="BJ75" s="7">
        <f>37693/83</f>
        <v>454.13253012048193</v>
      </c>
    </row>
    <row r="76" spans="1:62" ht="12.75">
      <c r="A76" s="2" t="s">
        <v>12</v>
      </c>
      <c r="B76" s="4">
        <v>915</v>
      </c>
      <c r="C76" s="4">
        <v>901</v>
      </c>
      <c r="D76" s="4">
        <v>901</v>
      </c>
      <c r="E76" s="4">
        <v>953</v>
      </c>
      <c r="F76" s="17">
        <v>1043</v>
      </c>
      <c r="G76" s="7">
        <f>21416/26</f>
        <v>823.6923076923077</v>
      </c>
      <c r="H76" s="7">
        <f>106836/83</f>
        <v>1287.1807228915663</v>
      </c>
      <c r="J76" s="3" t="s">
        <v>12</v>
      </c>
      <c r="K76" s="4">
        <v>603</v>
      </c>
      <c r="L76" s="4">
        <v>657</v>
      </c>
      <c r="M76" s="4">
        <v>635</v>
      </c>
      <c r="N76" s="4">
        <v>523</v>
      </c>
      <c r="O76" s="17">
        <v>652</v>
      </c>
      <c r="P76" s="7">
        <f>21416/26</f>
        <v>823.6923076923077</v>
      </c>
      <c r="Q76" s="7">
        <f>106836/83</f>
        <v>1287.1807228915663</v>
      </c>
      <c r="S76" s="3" t="s">
        <v>12</v>
      </c>
      <c r="T76" s="4">
        <v>318</v>
      </c>
      <c r="U76" s="4">
        <v>347</v>
      </c>
      <c r="V76" s="4">
        <v>350</v>
      </c>
      <c r="W76" s="4">
        <v>334</v>
      </c>
      <c r="X76" s="17">
        <v>368</v>
      </c>
      <c r="Y76" s="7">
        <f>21416/26</f>
        <v>823.6923076923077</v>
      </c>
      <c r="Z76" s="7">
        <f>106836/83</f>
        <v>1287.1807228915663</v>
      </c>
      <c r="AB76" s="3" t="s">
        <v>12</v>
      </c>
      <c r="AC76" s="4"/>
      <c r="AD76" s="4"/>
      <c r="AE76" s="4">
        <v>118</v>
      </c>
      <c r="AF76" s="4">
        <v>195</v>
      </c>
      <c r="AG76" s="17">
        <v>339</v>
      </c>
      <c r="AH76" s="7">
        <f>21416/26</f>
        <v>823.6923076923077</v>
      </c>
      <c r="AI76" s="7">
        <f>106836/83</f>
        <v>1287.1807228915663</v>
      </c>
      <c r="AK76" s="3" t="s">
        <v>12</v>
      </c>
      <c r="AL76" s="4">
        <v>210</v>
      </c>
      <c r="AM76" s="4">
        <v>203</v>
      </c>
      <c r="AN76" s="4">
        <v>203</v>
      </c>
      <c r="AO76" s="4">
        <v>192</v>
      </c>
      <c r="AP76" s="17">
        <v>217</v>
      </c>
      <c r="AQ76" s="7">
        <f>21416/26</f>
        <v>823.6923076923077</v>
      </c>
      <c r="AR76" s="7">
        <f>106836/83</f>
        <v>1287.1807228915663</v>
      </c>
      <c r="AT76" s="3" t="s">
        <v>12</v>
      </c>
      <c r="AU76" s="4">
        <v>131</v>
      </c>
      <c r="AV76" s="4">
        <v>129</v>
      </c>
      <c r="AW76" s="4">
        <v>133</v>
      </c>
      <c r="AX76" s="4">
        <v>138</v>
      </c>
      <c r="AY76" s="17">
        <v>130</v>
      </c>
      <c r="AZ76" s="7">
        <f>21416/26</f>
        <v>823.6923076923077</v>
      </c>
      <c r="BA76" s="7">
        <f>106836/83</f>
        <v>1287.1807228915663</v>
      </c>
      <c r="BC76" s="3" t="s">
        <v>12</v>
      </c>
      <c r="BD76" s="4">
        <v>38</v>
      </c>
      <c r="BE76" s="4">
        <v>39</v>
      </c>
      <c r="BF76" s="4">
        <v>37</v>
      </c>
      <c r="BG76" s="4">
        <v>36</v>
      </c>
      <c r="BH76" s="17">
        <v>40</v>
      </c>
      <c r="BI76" s="7">
        <f>21416/26</f>
        <v>823.6923076923077</v>
      </c>
      <c r="BJ76" s="7">
        <f>106836/83</f>
        <v>1287.1807228915663</v>
      </c>
    </row>
    <row r="77" spans="1:62" ht="12.75">
      <c r="A77" s="2" t="s">
        <v>13</v>
      </c>
      <c r="B77" s="4">
        <v>234</v>
      </c>
      <c r="C77" s="4">
        <v>260</v>
      </c>
      <c r="D77" s="4">
        <v>293</v>
      </c>
      <c r="E77" s="4">
        <v>323</v>
      </c>
      <c r="F77" s="17">
        <v>345</v>
      </c>
      <c r="G77" s="7">
        <f>11513/26</f>
        <v>442.8076923076923</v>
      </c>
      <c r="H77" s="7">
        <f>58664/83</f>
        <v>706.7951807228916</v>
      </c>
      <c r="J77" s="3" t="s">
        <v>13</v>
      </c>
      <c r="K77" s="4">
        <v>131</v>
      </c>
      <c r="L77" s="4">
        <v>141</v>
      </c>
      <c r="M77" s="4">
        <v>154</v>
      </c>
      <c r="N77" s="4">
        <v>197</v>
      </c>
      <c r="O77" s="17">
        <v>204</v>
      </c>
      <c r="P77" s="7">
        <f>11513/26</f>
        <v>442.8076923076923</v>
      </c>
      <c r="Q77" s="7">
        <f>58664/83</f>
        <v>706.7951807228916</v>
      </c>
      <c r="S77" s="3" t="s">
        <v>13</v>
      </c>
      <c r="T77" s="4">
        <v>108</v>
      </c>
      <c r="U77" s="4">
        <v>104</v>
      </c>
      <c r="V77" s="4">
        <v>157</v>
      </c>
      <c r="W77" s="4">
        <v>171</v>
      </c>
      <c r="X77" s="17">
        <v>197</v>
      </c>
      <c r="Y77" s="7">
        <f>11513/26</f>
        <v>442.8076923076923</v>
      </c>
      <c r="Z77" s="7">
        <f>58664/83</f>
        <v>706.7951807228916</v>
      </c>
      <c r="AB77" s="3" t="s">
        <v>13</v>
      </c>
      <c r="AC77" s="4"/>
      <c r="AD77" s="4"/>
      <c r="AE77" s="4">
        <v>140</v>
      </c>
      <c r="AF77" s="4">
        <v>224</v>
      </c>
      <c r="AG77" s="17">
        <v>387</v>
      </c>
      <c r="AH77" s="7">
        <f>11513/26</f>
        <v>442.8076923076923</v>
      </c>
      <c r="AI77" s="7">
        <f>58664/83</f>
        <v>706.7951807228916</v>
      </c>
      <c r="AK77" s="3" t="s">
        <v>13</v>
      </c>
      <c r="AL77" s="4">
        <v>70</v>
      </c>
      <c r="AM77" s="4">
        <v>72</v>
      </c>
      <c r="AN77" s="4">
        <v>79</v>
      </c>
      <c r="AO77" s="4">
        <v>90</v>
      </c>
      <c r="AP77" s="17">
        <v>112</v>
      </c>
      <c r="AQ77" s="7">
        <f>11513/26</f>
        <v>442.8076923076923</v>
      </c>
      <c r="AR77" s="7">
        <f>58664/83</f>
        <v>706.7951807228916</v>
      </c>
      <c r="AT77" s="3" t="s">
        <v>13</v>
      </c>
      <c r="AU77" s="4">
        <v>38</v>
      </c>
      <c r="AV77" s="4">
        <v>42</v>
      </c>
      <c r="AW77" s="4">
        <v>54</v>
      </c>
      <c r="AX77" s="4">
        <v>59</v>
      </c>
      <c r="AY77" s="17">
        <v>69</v>
      </c>
      <c r="AZ77" s="7">
        <f>11513/26</f>
        <v>442.8076923076923</v>
      </c>
      <c r="BA77" s="7">
        <f>58664/83</f>
        <v>706.7951807228916</v>
      </c>
      <c r="BC77" s="3" t="s">
        <v>13</v>
      </c>
      <c r="BD77" s="4">
        <v>17</v>
      </c>
      <c r="BE77" s="4">
        <v>22</v>
      </c>
      <c r="BF77" s="4">
        <v>26</v>
      </c>
      <c r="BG77" s="4">
        <v>25</v>
      </c>
      <c r="BH77" s="17">
        <v>37</v>
      </c>
      <c r="BI77" s="7">
        <f>11513/26</f>
        <v>442.8076923076923</v>
      </c>
      <c r="BJ77" s="7">
        <f>58664/83</f>
        <v>706.7951807228916</v>
      </c>
    </row>
    <row r="78" spans="1:62" ht="12.75">
      <c r="A78" s="2"/>
      <c r="B78" s="3"/>
      <c r="C78" s="3"/>
      <c r="D78" s="3"/>
      <c r="E78" s="4"/>
      <c r="F78" s="17"/>
      <c r="G78" s="3"/>
      <c r="J78" s="3"/>
      <c r="K78" s="3"/>
      <c r="L78" s="3"/>
      <c r="M78" s="3"/>
      <c r="N78" s="4"/>
      <c r="O78" s="17"/>
      <c r="P78" s="3"/>
      <c r="Q78" s="3"/>
      <c r="S78" s="3"/>
      <c r="T78" s="3"/>
      <c r="U78" s="3"/>
      <c r="V78" s="3"/>
      <c r="W78" s="4"/>
      <c r="X78" s="17"/>
      <c r="Y78" s="3"/>
      <c r="Z78" s="3"/>
      <c r="AB78" s="3"/>
      <c r="AC78" s="3"/>
      <c r="AD78" s="3"/>
      <c r="AE78" s="3"/>
      <c r="AF78" s="4"/>
      <c r="AG78" s="17"/>
      <c r="AH78" s="3"/>
      <c r="AI78" s="3"/>
      <c r="AK78" s="3"/>
      <c r="AL78" s="3"/>
      <c r="AM78" s="3"/>
      <c r="AN78" s="3"/>
      <c r="AO78" s="4"/>
      <c r="AP78" s="17"/>
      <c r="AQ78" s="3"/>
      <c r="AR78" s="3"/>
      <c r="AT78" s="3"/>
      <c r="AU78" s="3"/>
      <c r="AV78" s="3"/>
      <c r="AW78" s="3"/>
      <c r="AX78" s="4"/>
      <c r="AY78" s="17"/>
      <c r="AZ78" s="3"/>
      <c r="BA78" s="3"/>
      <c r="BC78" s="3"/>
      <c r="BD78" s="3"/>
      <c r="BE78" s="3"/>
      <c r="BF78" s="3"/>
      <c r="BG78" s="4"/>
      <c r="BH78" s="17"/>
      <c r="BI78" s="3"/>
      <c r="BJ78" s="3"/>
    </row>
    <row r="79" spans="1:62" ht="12.75">
      <c r="A79" s="48" t="s">
        <v>14</v>
      </c>
      <c r="B79" s="5">
        <v>7.41</v>
      </c>
      <c r="C79" s="5">
        <v>6.37</v>
      </c>
      <c r="D79" s="5">
        <v>5.27</v>
      </c>
      <c r="E79" s="5">
        <v>4.61</v>
      </c>
      <c r="F79" s="18">
        <v>4.52</v>
      </c>
      <c r="G79" s="5">
        <v>4.31</v>
      </c>
      <c r="H79" s="5">
        <v>4.35</v>
      </c>
      <c r="I79" s="6"/>
      <c r="J79" s="6" t="s">
        <v>14</v>
      </c>
      <c r="K79" s="5">
        <v>9</v>
      </c>
      <c r="L79" s="5">
        <v>8.39</v>
      </c>
      <c r="M79" s="5">
        <v>6.98</v>
      </c>
      <c r="N79" s="5">
        <v>5</v>
      </c>
      <c r="O79" s="18">
        <v>5.23</v>
      </c>
      <c r="P79" s="5">
        <v>4.31</v>
      </c>
      <c r="Q79" s="5">
        <v>4.35</v>
      </c>
      <c r="R79" s="6"/>
      <c r="S79" s="6" t="s">
        <v>14</v>
      </c>
      <c r="T79" s="5">
        <v>7.44</v>
      </c>
      <c r="U79" s="5">
        <v>6.85</v>
      </c>
      <c r="V79" s="5">
        <v>6.05</v>
      </c>
      <c r="W79" s="5">
        <v>5.18</v>
      </c>
      <c r="X79" s="18">
        <v>4.99</v>
      </c>
      <c r="Y79" s="5">
        <v>4.31</v>
      </c>
      <c r="Z79" s="5">
        <v>4.35</v>
      </c>
      <c r="AA79" s="6"/>
      <c r="AB79" s="6" t="s">
        <v>14</v>
      </c>
      <c r="AC79" s="5"/>
      <c r="AD79" s="5"/>
      <c r="AE79" s="5">
        <v>1.48</v>
      </c>
      <c r="AF79" s="5">
        <v>3.55</v>
      </c>
      <c r="AG79" s="18">
        <v>4.82</v>
      </c>
      <c r="AH79" s="5">
        <v>4.31</v>
      </c>
      <c r="AI79" s="5">
        <v>4.35</v>
      </c>
      <c r="AJ79" s="6"/>
      <c r="AK79" s="6" t="s">
        <v>14</v>
      </c>
      <c r="AL79" s="5">
        <v>8.48</v>
      </c>
      <c r="AM79" s="5">
        <v>7.41</v>
      </c>
      <c r="AN79" s="5">
        <v>6.35</v>
      </c>
      <c r="AO79" s="5">
        <v>5.29</v>
      </c>
      <c r="AP79" s="18">
        <v>5.24</v>
      </c>
      <c r="AQ79" s="5">
        <v>4.31</v>
      </c>
      <c r="AR79" s="5">
        <v>4.35</v>
      </c>
      <c r="AS79" s="6"/>
      <c r="AT79" s="6" t="s">
        <v>14</v>
      </c>
      <c r="AU79" s="5">
        <v>9</v>
      </c>
      <c r="AV79" s="5">
        <v>7.91</v>
      </c>
      <c r="AW79" s="5">
        <v>6.5</v>
      </c>
      <c r="AX79" s="5">
        <v>5.87</v>
      </c>
      <c r="AY79" s="18">
        <v>5.52</v>
      </c>
      <c r="AZ79" s="5">
        <v>4.31</v>
      </c>
      <c r="BA79" s="5">
        <v>4.35</v>
      </c>
      <c r="BB79" s="6"/>
      <c r="BC79" s="6" t="s">
        <v>14</v>
      </c>
      <c r="BD79" s="5">
        <v>6.58</v>
      </c>
      <c r="BE79" s="5">
        <v>6.1</v>
      </c>
      <c r="BF79" s="5">
        <v>5.18</v>
      </c>
      <c r="BG79" s="5">
        <v>4.31</v>
      </c>
      <c r="BH79" s="18">
        <v>3.9</v>
      </c>
      <c r="BI79" s="5">
        <v>4.31</v>
      </c>
      <c r="BJ79" s="5">
        <v>4.35</v>
      </c>
    </row>
    <row r="80" spans="1:62" ht="12.75">
      <c r="A80" s="48" t="s">
        <v>18</v>
      </c>
      <c r="B80" s="5">
        <v>4.03</v>
      </c>
      <c r="C80" s="5">
        <v>4.16</v>
      </c>
      <c r="D80" s="6">
        <v>4.23</v>
      </c>
      <c r="E80" s="5">
        <v>3.81</v>
      </c>
      <c r="F80" s="18">
        <v>3.96</v>
      </c>
      <c r="G80" s="5">
        <v>4.21</v>
      </c>
      <c r="H80" s="5">
        <v>3.79</v>
      </c>
      <c r="I80" s="6"/>
      <c r="J80" s="6" t="s">
        <v>18</v>
      </c>
      <c r="K80" s="5">
        <v>3.45</v>
      </c>
      <c r="L80" s="5">
        <v>2.54</v>
      </c>
      <c r="M80" s="6">
        <v>2.75</v>
      </c>
      <c r="N80" s="5">
        <v>3.38</v>
      </c>
      <c r="O80" s="18">
        <v>3.5</v>
      </c>
      <c r="P80" s="5">
        <v>4.21</v>
      </c>
      <c r="Q80" s="5">
        <v>3.79</v>
      </c>
      <c r="R80" s="6"/>
      <c r="S80" s="6" t="s">
        <v>18</v>
      </c>
      <c r="T80" s="5">
        <v>3.31</v>
      </c>
      <c r="U80" s="5">
        <v>3.58</v>
      </c>
      <c r="V80" s="6">
        <v>3.75</v>
      </c>
      <c r="W80" s="5">
        <v>3.75</v>
      </c>
      <c r="X80" s="18">
        <v>3.91</v>
      </c>
      <c r="Y80" s="5">
        <v>4.21</v>
      </c>
      <c r="Z80" s="5">
        <v>3.79</v>
      </c>
      <c r="AA80" s="6"/>
      <c r="AB80" s="6" t="s">
        <v>18</v>
      </c>
      <c r="AC80" s="5"/>
      <c r="AD80" s="5"/>
      <c r="AE80" s="6">
        <v>8.56</v>
      </c>
      <c r="AF80" s="5">
        <v>6.91</v>
      </c>
      <c r="AG80" s="18">
        <v>5.58</v>
      </c>
      <c r="AH80" s="5">
        <v>4.21</v>
      </c>
      <c r="AI80" s="5">
        <v>3.79</v>
      </c>
      <c r="AJ80" s="6"/>
      <c r="AK80" s="6" t="s">
        <v>18</v>
      </c>
      <c r="AL80" s="5">
        <v>2.79</v>
      </c>
      <c r="AM80" s="5">
        <v>3.18</v>
      </c>
      <c r="AN80" s="6">
        <v>3.15</v>
      </c>
      <c r="AO80" s="5">
        <v>3.29</v>
      </c>
      <c r="AP80" s="18">
        <v>2.98</v>
      </c>
      <c r="AQ80" s="5">
        <v>4.21</v>
      </c>
      <c r="AR80" s="5">
        <v>3.79</v>
      </c>
      <c r="AS80" s="6"/>
      <c r="AT80" s="6" t="s">
        <v>18</v>
      </c>
      <c r="AU80" s="5">
        <v>1.73</v>
      </c>
      <c r="AV80" s="5">
        <v>1.99</v>
      </c>
      <c r="AW80" s="6">
        <v>2.11</v>
      </c>
      <c r="AX80" s="5">
        <v>3.53</v>
      </c>
      <c r="AY80" s="18">
        <v>2.8</v>
      </c>
      <c r="AZ80" s="5">
        <v>4.21</v>
      </c>
      <c r="BA80" s="5">
        <v>3.79</v>
      </c>
      <c r="BB80" s="6"/>
      <c r="BC80" s="6" t="s">
        <v>18</v>
      </c>
      <c r="BD80" s="5">
        <v>5.43</v>
      </c>
      <c r="BE80" s="5">
        <v>5.39</v>
      </c>
      <c r="BF80" s="6">
        <v>6.25</v>
      </c>
      <c r="BG80" s="5">
        <v>6.47</v>
      </c>
      <c r="BH80" s="18">
        <v>6.1</v>
      </c>
      <c r="BI80" s="5">
        <v>4.21</v>
      </c>
      <c r="BJ80" s="5">
        <v>3.79</v>
      </c>
    </row>
    <row r="81" spans="1:62" ht="12.75">
      <c r="A81" s="48" t="s">
        <v>54</v>
      </c>
      <c r="B81" s="5">
        <v>12.54</v>
      </c>
      <c r="C81" s="5">
        <v>13.65</v>
      </c>
      <c r="D81" s="5">
        <v>14.1</v>
      </c>
      <c r="E81" s="5">
        <v>14.02</v>
      </c>
      <c r="F81" s="18">
        <v>13.86</v>
      </c>
      <c r="G81" s="5">
        <v>12.22</v>
      </c>
      <c r="H81" s="5">
        <v>20.17</v>
      </c>
      <c r="I81" s="6"/>
      <c r="J81" s="6" t="s">
        <v>54</v>
      </c>
      <c r="K81" s="5">
        <v>12.13</v>
      </c>
      <c r="L81" s="5">
        <v>11.19</v>
      </c>
      <c r="M81" s="5">
        <v>11.92</v>
      </c>
      <c r="N81" s="5">
        <v>17.37</v>
      </c>
      <c r="O81" s="18">
        <v>13.56</v>
      </c>
      <c r="P81" s="5">
        <v>12.22</v>
      </c>
      <c r="Q81" s="5">
        <v>20.17</v>
      </c>
      <c r="R81" s="6"/>
      <c r="S81" s="6" t="s">
        <v>54</v>
      </c>
      <c r="T81" s="5">
        <v>12.49</v>
      </c>
      <c r="U81" s="5">
        <v>13.34</v>
      </c>
      <c r="V81" s="5">
        <v>15.55</v>
      </c>
      <c r="W81" s="5">
        <v>15.13</v>
      </c>
      <c r="X81" s="18">
        <v>15.45</v>
      </c>
      <c r="Y81" s="5">
        <v>12.22</v>
      </c>
      <c r="Z81" s="5">
        <v>20.17</v>
      </c>
      <c r="AA81" s="6"/>
      <c r="AB81" s="6" t="s">
        <v>54</v>
      </c>
      <c r="AC81" s="5"/>
      <c r="AD81" s="5"/>
      <c r="AE81" s="5">
        <v>17.15</v>
      </c>
      <c r="AF81" s="5">
        <v>20.48</v>
      </c>
      <c r="AG81" s="18">
        <v>23.59</v>
      </c>
      <c r="AH81" s="5">
        <v>12.22</v>
      </c>
      <c r="AI81" s="5">
        <v>20.17</v>
      </c>
      <c r="AJ81" s="6"/>
      <c r="AK81" s="6" t="s">
        <v>54</v>
      </c>
      <c r="AL81" s="5">
        <v>14.28</v>
      </c>
      <c r="AM81" s="5">
        <v>15.63</v>
      </c>
      <c r="AN81" s="5">
        <v>16.42</v>
      </c>
      <c r="AO81" s="5">
        <v>16.74</v>
      </c>
      <c r="AP81" s="18">
        <v>18.19</v>
      </c>
      <c r="AQ81" s="5">
        <v>12.22</v>
      </c>
      <c r="AR81" s="5">
        <v>20.17</v>
      </c>
      <c r="AS81" s="6"/>
      <c r="AT81" s="6" t="s">
        <v>54</v>
      </c>
      <c r="AU81" s="5">
        <v>9.7</v>
      </c>
      <c r="AV81" s="5">
        <v>10.55</v>
      </c>
      <c r="AW81" s="5">
        <v>11.16</v>
      </c>
      <c r="AX81" s="5">
        <v>12.51</v>
      </c>
      <c r="AY81" s="18">
        <v>15.92</v>
      </c>
      <c r="AZ81" s="5">
        <v>12.22</v>
      </c>
      <c r="BA81" s="5">
        <v>20.17</v>
      </c>
      <c r="BB81" s="6"/>
      <c r="BC81" s="6" t="s">
        <v>54</v>
      </c>
      <c r="BD81" s="5">
        <v>22.97</v>
      </c>
      <c r="BE81" s="5">
        <v>26.7</v>
      </c>
      <c r="BF81" s="5">
        <v>31.25</v>
      </c>
      <c r="BG81" s="5">
        <v>28.56</v>
      </c>
      <c r="BH81" s="18">
        <v>35.67</v>
      </c>
      <c r="BI81" s="5">
        <v>12.22</v>
      </c>
      <c r="BJ81" s="5">
        <v>20.17</v>
      </c>
    </row>
    <row r="82" spans="1:62" ht="12.75">
      <c r="A82" s="48"/>
      <c r="B82" s="6"/>
      <c r="C82" s="6"/>
      <c r="D82" s="6"/>
      <c r="E82" s="5"/>
      <c r="F82" s="18"/>
      <c r="G82" s="6"/>
      <c r="H82" s="6"/>
      <c r="I82" s="6"/>
      <c r="J82" s="6"/>
      <c r="K82" s="6"/>
      <c r="L82" s="6"/>
      <c r="M82" s="6"/>
      <c r="N82" s="5"/>
      <c r="O82" s="18"/>
      <c r="P82" s="6"/>
      <c r="Q82" s="6"/>
      <c r="R82" s="6"/>
      <c r="S82" s="6"/>
      <c r="T82" s="6"/>
      <c r="U82" s="6"/>
      <c r="V82" s="6"/>
      <c r="W82" s="5"/>
      <c r="X82" s="18"/>
      <c r="Y82" s="6"/>
      <c r="Z82" s="6"/>
      <c r="AA82" s="6"/>
      <c r="AB82" s="6"/>
      <c r="AC82" s="6"/>
      <c r="AD82" s="6"/>
      <c r="AE82" s="6"/>
      <c r="AF82" s="5"/>
      <c r="AG82" s="18"/>
      <c r="AH82" s="6"/>
      <c r="AI82" s="6"/>
      <c r="AJ82" s="6"/>
      <c r="AK82" s="6"/>
      <c r="AL82" s="6"/>
      <c r="AM82" s="6"/>
      <c r="AN82" s="6"/>
      <c r="AO82" s="5"/>
      <c r="AP82" s="18"/>
      <c r="AQ82" s="6"/>
      <c r="AR82" s="6"/>
      <c r="AS82" s="6"/>
      <c r="AT82" s="6"/>
      <c r="AU82" s="6"/>
      <c r="AV82" s="6"/>
      <c r="AW82" s="6"/>
      <c r="AX82" s="5"/>
      <c r="AY82" s="18"/>
      <c r="AZ82" s="6"/>
      <c r="BA82" s="6"/>
      <c r="BB82" s="6"/>
      <c r="BC82" s="6"/>
      <c r="BD82" s="6"/>
      <c r="BE82" s="6"/>
      <c r="BF82" s="6"/>
      <c r="BG82" s="5"/>
      <c r="BH82" s="18"/>
      <c r="BI82" s="6"/>
      <c r="BJ82" s="6"/>
    </row>
    <row r="83" spans="1:62" ht="12.75">
      <c r="A83" s="48" t="s">
        <v>15</v>
      </c>
      <c r="B83" s="5">
        <v>1.77</v>
      </c>
      <c r="C83" s="5">
        <v>2.01</v>
      </c>
      <c r="D83" s="5">
        <v>1.92</v>
      </c>
      <c r="E83" s="5">
        <v>0.47</v>
      </c>
      <c r="F83" s="18">
        <v>0.67</v>
      </c>
      <c r="G83" s="5">
        <v>1.08</v>
      </c>
      <c r="H83" s="5">
        <v>1</v>
      </c>
      <c r="I83" s="6"/>
      <c r="J83" s="6" t="s">
        <v>15</v>
      </c>
      <c r="K83" s="5">
        <v>1.26</v>
      </c>
      <c r="L83" s="5">
        <v>1.29</v>
      </c>
      <c r="M83" s="5">
        <v>1.34</v>
      </c>
      <c r="N83" s="5">
        <v>1.27</v>
      </c>
      <c r="O83" s="18">
        <v>1.28</v>
      </c>
      <c r="P83" s="5">
        <v>1.08</v>
      </c>
      <c r="Q83" s="5">
        <v>1</v>
      </c>
      <c r="R83" s="6"/>
      <c r="S83" s="6" t="s">
        <v>15</v>
      </c>
      <c r="T83" s="5">
        <v>2.42</v>
      </c>
      <c r="U83" s="5">
        <v>2.25</v>
      </c>
      <c r="V83" s="5">
        <v>2.43</v>
      </c>
      <c r="W83" s="5">
        <v>1.45</v>
      </c>
      <c r="X83" s="18">
        <v>1.65</v>
      </c>
      <c r="Y83" s="5">
        <v>1.08</v>
      </c>
      <c r="Z83" s="5">
        <v>1</v>
      </c>
      <c r="AA83" s="6"/>
      <c r="AB83" s="6" t="s">
        <v>15</v>
      </c>
      <c r="AC83" s="5"/>
      <c r="AD83" s="5"/>
      <c r="AE83" s="5">
        <v>2.4</v>
      </c>
      <c r="AF83" s="5">
        <v>1.56</v>
      </c>
      <c r="AG83" s="18">
        <v>1.39</v>
      </c>
      <c r="AH83" s="5">
        <v>1.08</v>
      </c>
      <c r="AI83" s="5">
        <v>1</v>
      </c>
      <c r="AJ83" s="6"/>
      <c r="AK83" s="6" t="s">
        <v>15</v>
      </c>
      <c r="AL83" s="5">
        <v>1.06</v>
      </c>
      <c r="AM83" s="5">
        <v>1.13</v>
      </c>
      <c r="AN83" s="5">
        <v>1.19</v>
      </c>
      <c r="AO83" s="5">
        <v>0.08</v>
      </c>
      <c r="AP83" s="18">
        <v>0.53</v>
      </c>
      <c r="AQ83" s="5">
        <v>1.08</v>
      </c>
      <c r="AR83" s="5">
        <v>1</v>
      </c>
      <c r="AS83" s="6"/>
      <c r="AT83" s="6" t="s">
        <v>15</v>
      </c>
      <c r="AU83" s="5">
        <v>1.26</v>
      </c>
      <c r="AV83" s="5">
        <v>1.28</v>
      </c>
      <c r="AW83" s="5">
        <v>1.33</v>
      </c>
      <c r="AX83" s="5">
        <v>0</v>
      </c>
      <c r="AY83" s="18">
        <v>0.17</v>
      </c>
      <c r="AZ83" s="5">
        <v>1.08</v>
      </c>
      <c r="BA83" s="5">
        <v>1</v>
      </c>
      <c r="BB83" s="6"/>
      <c r="BC83" s="6" t="s">
        <v>15</v>
      </c>
      <c r="BD83" s="5">
        <v>0.92</v>
      </c>
      <c r="BE83" s="14">
        <v>1.14</v>
      </c>
      <c r="BF83" s="5">
        <v>1.58</v>
      </c>
      <c r="BG83" s="5">
        <v>1.25</v>
      </c>
      <c r="BH83" s="18">
        <v>1.06</v>
      </c>
      <c r="BI83" s="5">
        <v>1.08</v>
      </c>
      <c r="BJ83" s="5">
        <v>1</v>
      </c>
    </row>
    <row r="84" spans="1:62" ht="12.75">
      <c r="A84" s="48" t="s">
        <v>16</v>
      </c>
      <c r="B84" s="5">
        <v>15.46</v>
      </c>
      <c r="C84" s="5">
        <v>16.48</v>
      </c>
      <c r="D84" s="5">
        <v>16.88</v>
      </c>
      <c r="E84" s="5">
        <v>15.15</v>
      </c>
      <c r="F84" s="18">
        <v>12.14</v>
      </c>
      <c r="G84" s="5">
        <v>12.49</v>
      </c>
      <c r="H84" s="6">
        <v>12.24</v>
      </c>
      <c r="I84" s="6"/>
      <c r="J84" s="6" t="s">
        <v>16</v>
      </c>
      <c r="K84" s="5">
        <v>12.96</v>
      </c>
      <c r="L84" s="5">
        <v>13.44</v>
      </c>
      <c r="M84" s="5">
        <v>13.03</v>
      </c>
      <c r="N84" s="5">
        <v>14.16</v>
      </c>
      <c r="O84" s="18">
        <v>11.78</v>
      </c>
      <c r="P84" s="5">
        <v>12.49</v>
      </c>
      <c r="Q84" s="6">
        <v>12.24</v>
      </c>
      <c r="R84" s="6"/>
      <c r="S84" s="6" t="s">
        <v>16</v>
      </c>
      <c r="T84" s="5">
        <v>16.9</v>
      </c>
      <c r="U84" s="5">
        <v>17.01</v>
      </c>
      <c r="V84" s="5">
        <v>17.11</v>
      </c>
      <c r="W84" s="5">
        <v>16.07</v>
      </c>
      <c r="X84" s="18">
        <v>14.79</v>
      </c>
      <c r="Y84" s="5">
        <v>12.49</v>
      </c>
      <c r="Z84" s="6">
        <v>12.24</v>
      </c>
      <c r="AA84" s="6"/>
      <c r="AB84" s="6" t="s">
        <v>16</v>
      </c>
      <c r="AC84" s="5"/>
      <c r="AD84" s="5"/>
      <c r="AE84" s="5">
        <v>15.25</v>
      </c>
      <c r="AF84" s="5">
        <v>12.8</v>
      </c>
      <c r="AG84" s="18">
        <v>11.27</v>
      </c>
      <c r="AH84" s="5">
        <v>12.49</v>
      </c>
      <c r="AI84" s="6">
        <v>12.24</v>
      </c>
      <c r="AJ84" s="6"/>
      <c r="AK84" s="6" t="s">
        <v>16</v>
      </c>
      <c r="AL84" s="5">
        <v>11.54</v>
      </c>
      <c r="AM84" s="5">
        <v>11.35</v>
      </c>
      <c r="AN84" s="5">
        <v>13.79</v>
      </c>
      <c r="AO84" s="5">
        <v>11.32</v>
      </c>
      <c r="AP84" s="18">
        <v>10.79</v>
      </c>
      <c r="AQ84" s="5">
        <v>12.49</v>
      </c>
      <c r="AR84" s="6">
        <v>12.24</v>
      </c>
      <c r="AS84" s="6"/>
      <c r="AT84" s="6" t="s">
        <v>16</v>
      </c>
      <c r="AU84" s="5">
        <v>16.5</v>
      </c>
      <c r="AV84" s="5">
        <v>12.82</v>
      </c>
      <c r="AW84" s="5">
        <v>16.54</v>
      </c>
      <c r="AX84" s="5">
        <v>11.74</v>
      </c>
      <c r="AY84" s="18">
        <v>10.11</v>
      </c>
      <c r="AZ84" s="5">
        <v>12.49</v>
      </c>
      <c r="BA84" s="6">
        <v>12.24</v>
      </c>
      <c r="BB84" s="6"/>
      <c r="BC84" s="6" t="s">
        <v>16</v>
      </c>
      <c r="BD84" s="5">
        <v>14.88</v>
      </c>
      <c r="BE84" s="5">
        <v>20.93</v>
      </c>
      <c r="BF84" s="5">
        <v>18.54</v>
      </c>
      <c r="BG84" s="5">
        <v>14.85</v>
      </c>
      <c r="BH84" s="18">
        <v>13.88</v>
      </c>
      <c r="BI84" s="5">
        <v>12.49</v>
      </c>
      <c r="BJ84" s="6">
        <v>12.24</v>
      </c>
    </row>
    <row r="85" spans="1:62" ht="12.75">
      <c r="A85" s="48" t="s">
        <v>17</v>
      </c>
      <c r="B85" s="6">
        <v>1.88</v>
      </c>
      <c r="C85" s="6">
        <v>1.58</v>
      </c>
      <c r="D85" s="6">
        <v>1.48</v>
      </c>
      <c r="E85" s="5">
        <v>1.41</v>
      </c>
      <c r="F85" s="18">
        <v>0.92</v>
      </c>
      <c r="G85" s="6">
        <v>1.04</v>
      </c>
      <c r="H85" s="5">
        <v>1.22</v>
      </c>
      <c r="I85" s="6"/>
      <c r="J85" s="6" t="s">
        <v>17</v>
      </c>
      <c r="K85" s="6">
        <v>5.9</v>
      </c>
      <c r="L85" s="6">
        <v>7.36</v>
      </c>
      <c r="M85" s="6">
        <v>4.98</v>
      </c>
      <c r="N85" s="5">
        <v>2.29</v>
      </c>
      <c r="O85" s="18">
        <v>1.18</v>
      </c>
      <c r="P85" s="6">
        <v>1.04</v>
      </c>
      <c r="Q85" s="5">
        <v>1.22</v>
      </c>
      <c r="R85" s="6"/>
      <c r="S85" s="6" t="s">
        <v>17</v>
      </c>
      <c r="T85" s="6">
        <v>6.33</v>
      </c>
      <c r="U85" s="6">
        <v>4.2</v>
      </c>
      <c r="V85" s="6">
        <v>2.32</v>
      </c>
      <c r="W85" s="5">
        <v>1.66</v>
      </c>
      <c r="X85" s="18">
        <v>0.81</v>
      </c>
      <c r="Y85" s="6">
        <v>1.04</v>
      </c>
      <c r="Z85" s="5">
        <v>1.22</v>
      </c>
      <c r="AA85" s="6"/>
      <c r="AB85" s="6" t="s">
        <v>17</v>
      </c>
      <c r="AC85" s="6"/>
      <c r="AD85" s="6"/>
      <c r="AE85" s="6">
        <v>0.17</v>
      </c>
      <c r="AF85" s="5">
        <v>0.37</v>
      </c>
      <c r="AG85" s="18">
        <v>0.24</v>
      </c>
      <c r="AH85" s="6">
        <v>1.04</v>
      </c>
      <c r="AI85" s="5">
        <v>1.22</v>
      </c>
      <c r="AJ85" s="6"/>
      <c r="AK85" s="6" t="s">
        <v>17</v>
      </c>
      <c r="AL85" s="6">
        <v>9.13</v>
      </c>
      <c r="AM85" s="6">
        <v>7.15</v>
      </c>
      <c r="AN85" s="6">
        <v>5.4</v>
      </c>
      <c r="AO85" s="5">
        <v>4.98</v>
      </c>
      <c r="AP85" s="18">
        <v>1.89</v>
      </c>
      <c r="AQ85" s="6">
        <v>1.04</v>
      </c>
      <c r="AR85" s="5">
        <v>1.22</v>
      </c>
      <c r="AS85" s="6"/>
      <c r="AT85" s="6" t="s">
        <v>17</v>
      </c>
      <c r="AU85" s="6">
        <v>9.85</v>
      </c>
      <c r="AV85" s="6">
        <v>6.33</v>
      </c>
      <c r="AW85" s="6">
        <v>6.05</v>
      </c>
      <c r="AX85" s="5">
        <v>4.22</v>
      </c>
      <c r="AY85" s="18">
        <v>3.11</v>
      </c>
      <c r="AZ85" s="6">
        <v>1.04</v>
      </c>
      <c r="BA85" s="5">
        <v>1.22</v>
      </c>
      <c r="BB85" s="6"/>
      <c r="BC85" s="6" t="s">
        <v>17</v>
      </c>
      <c r="BD85" s="31">
        <v>0</v>
      </c>
      <c r="BE85" s="31">
        <v>0</v>
      </c>
      <c r="BF85" s="6">
        <v>0</v>
      </c>
      <c r="BG85" s="5">
        <v>0</v>
      </c>
      <c r="BH85" s="18">
        <v>0</v>
      </c>
      <c r="BI85" s="6">
        <v>1.04</v>
      </c>
      <c r="BJ85" s="5">
        <v>1.22</v>
      </c>
    </row>
    <row r="86" spans="1:62" ht="12.75">
      <c r="A86" s="3"/>
      <c r="B86" s="3"/>
      <c r="C86" s="3"/>
      <c r="D86" s="3"/>
      <c r="E86" s="3"/>
      <c r="F86" s="3"/>
      <c r="G86" s="3"/>
      <c r="J86" s="3"/>
      <c r="K86" s="3"/>
      <c r="L86" s="3"/>
      <c r="M86" s="3"/>
      <c r="N86" s="3"/>
      <c r="O86" s="3"/>
      <c r="P86" s="3"/>
      <c r="Q86" s="3"/>
      <c r="S86" s="3"/>
      <c r="T86" s="3"/>
      <c r="U86" s="3"/>
      <c r="V86" s="3"/>
      <c r="W86" s="3"/>
      <c r="X86" s="3"/>
      <c r="Y86" s="3"/>
      <c r="Z86" s="3"/>
      <c r="AB86" s="3"/>
      <c r="AC86" s="3"/>
      <c r="AD86" s="3"/>
      <c r="AE86" s="3"/>
      <c r="AF86" s="3"/>
      <c r="AG86" s="3"/>
      <c r="AH86" s="3"/>
      <c r="AI86" s="3"/>
      <c r="AK86" s="3"/>
      <c r="AL86" s="3"/>
      <c r="AM86" s="3"/>
      <c r="AN86" s="3"/>
      <c r="AO86" s="3"/>
      <c r="AP86" s="3"/>
      <c r="AQ86" s="3"/>
      <c r="AR86" s="3"/>
      <c r="AT86" s="3"/>
      <c r="AU86" s="3"/>
      <c r="AV86" s="3"/>
      <c r="AW86" s="3"/>
      <c r="AX86" s="3"/>
      <c r="AY86" s="3"/>
      <c r="AZ86" s="3"/>
      <c r="BA86" s="3"/>
      <c r="BC86" s="3"/>
      <c r="BD86" s="3"/>
      <c r="BE86" s="3"/>
      <c r="BF86" s="3"/>
      <c r="BG86" s="3"/>
      <c r="BH86" s="3"/>
      <c r="BI86" s="3"/>
      <c r="BJ86" s="3"/>
    </row>
    <row r="88" spans="1:71" ht="12.75">
      <c r="A88" s="26" t="s">
        <v>44</v>
      </c>
      <c r="B88" s="27"/>
      <c r="C88" s="27"/>
      <c r="D88" s="27"/>
      <c r="E88" s="27"/>
      <c r="F88" s="27"/>
      <c r="G88" s="27"/>
      <c r="H88" s="30" t="s">
        <v>51</v>
      </c>
      <c r="J88" s="26" t="s">
        <v>44</v>
      </c>
      <c r="K88" s="27"/>
      <c r="L88" s="27"/>
      <c r="M88" s="27"/>
      <c r="N88" s="27"/>
      <c r="O88" s="27"/>
      <c r="P88" s="27"/>
      <c r="Q88" s="26" t="s">
        <v>104</v>
      </c>
      <c r="S88" s="26" t="s">
        <v>44</v>
      </c>
      <c r="T88" s="27"/>
      <c r="U88" s="27"/>
      <c r="V88" s="27"/>
      <c r="W88" s="27"/>
      <c r="X88" s="27"/>
      <c r="Y88" s="26" t="s">
        <v>105</v>
      </c>
      <c r="Z88" s="27"/>
      <c r="AB88" s="26" t="s">
        <v>44</v>
      </c>
      <c r="AC88" s="27"/>
      <c r="AD88" s="27"/>
      <c r="AE88" s="27"/>
      <c r="AF88" s="27"/>
      <c r="AG88" s="27"/>
      <c r="AH88" s="26" t="s">
        <v>106</v>
      </c>
      <c r="AI88" s="27"/>
      <c r="AK88" s="26" t="s">
        <v>44</v>
      </c>
      <c r="AL88" s="27"/>
      <c r="AM88" s="27"/>
      <c r="AN88" s="27"/>
      <c r="AO88" s="27"/>
      <c r="AP88" s="27"/>
      <c r="AQ88" s="26" t="s">
        <v>107</v>
      </c>
      <c r="AR88" s="27"/>
      <c r="AT88" s="26" t="s">
        <v>44</v>
      </c>
      <c r="AU88" s="27"/>
      <c r="AV88" s="27"/>
      <c r="AW88" s="27"/>
      <c r="AX88" s="27"/>
      <c r="AY88" s="27"/>
      <c r="AZ88" s="26" t="s">
        <v>108</v>
      </c>
      <c r="BA88" s="27"/>
      <c r="BC88" s="26" t="s">
        <v>44</v>
      </c>
      <c r="BD88" s="27"/>
      <c r="BE88" s="27"/>
      <c r="BF88" s="27"/>
      <c r="BG88" s="27"/>
      <c r="BH88" s="27"/>
      <c r="BI88" s="27"/>
      <c r="BJ88" s="26" t="s">
        <v>109</v>
      </c>
      <c r="BL88" s="26" t="s">
        <v>44</v>
      </c>
      <c r="BM88" s="27"/>
      <c r="BN88" s="17"/>
      <c r="BO88" s="27"/>
      <c r="BP88" s="27"/>
      <c r="BQ88" s="27"/>
      <c r="BR88" s="27"/>
      <c r="BS88" s="26" t="s">
        <v>110</v>
      </c>
    </row>
    <row r="89" spans="5:71" ht="12.75">
      <c r="E89" s="20"/>
      <c r="F89" s="20"/>
      <c r="H89" s="39" t="s">
        <v>19</v>
      </c>
      <c r="Q89" s="39" t="s">
        <v>19</v>
      </c>
      <c r="Z89" s="39" t="s">
        <v>19</v>
      </c>
      <c r="AI89" s="39" t="s">
        <v>19</v>
      </c>
      <c r="AR89" s="39" t="s">
        <v>19</v>
      </c>
      <c r="BA89" s="39" t="s">
        <v>19</v>
      </c>
      <c r="BJ89" s="39" t="s">
        <v>19</v>
      </c>
      <c r="BS89" s="39" t="s">
        <v>19</v>
      </c>
    </row>
    <row r="90" spans="1:73" ht="12.75">
      <c r="A90" s="17" t="s">
        <v>4</v>
      </c>
      <c r="B90" s="17" t="s">
        <v>0</v>
      </c>
      <c r="C90" s="17" t="s">
        <v>1</v>
      </c>
      <c r="D90" s="17" t="s">
        <v>2</v>
      </c>
      <c r="E90" s="17" t="s">
        <v>3</v>
      </c>
      <c r="F90" s="17" t="s">
        <v>117</v>
      </c>
      <c r="G90" s="17" t="s">
        <v>53</v>
      </c>
      <c r="H90" s="17" t="s">
        <v>111</v>
      </c>
      <c r="J90" s="17" t="s">
        <v>4</v>
      </c>
      <c r="K90" s="17" t="s">
        <v>0</v>
      </c>
      <c r="L90" s="17" t="s">
        <v>1</v>
      </c>
      <c r="M90" s="17" t="s">
        <v>2</v>
      </c>
      <c r="N90" s="17" t="s">
        <v>3</v>
      </c>
      <c r="O90" s="17" t="s">
        <v>117</v>
      </c>
      <c r="P90" s="17" t="s">
        <v>53</v>
      </c>
      <c r="Q90" s="17" t="s">
        <v>111</v>
      </c>
      <c r="S90" s="17" t="s">
        <v>4</v>
      </c>
      <c r="T90" s="17" t="s">
        <v>0</v>
      </c>
      <c r="U90" s="17" t="s">
        <v>1</v>
      </c>
      <c r="V90" s="17" t="s">
        <v>2</v>
      </c>
      <c r="W90" s="17" t="s">
        <v>3</v>
      </c>
      <c r="X90" s="17" t="s">
        <v>117</v>
      </c>
      <c r="Y90" s="17" t="s">
        <v>53</v>
      </c>
      <c r="Z90" s="17" t="s">
        <v>111</v>
      </c>
      <c r="AB90" s="17" t="s">
        <v>4</v>
      </c>
      <c r="AC90" s="17" t="s">
        <v>0</v>
      </c>
      <c r="AD90" s="17" t="s">
        <v>1</v>
      </c>
      <c r="AE90" s="17" t="s">
        <v>2</v>
      </c>
      <c r="AF90" s="17" t="s">
        <v>3</v>
      </c>
      <c r="AG90" s="17" t="s">
        <v>117</v>
      </c>
      <c r="AH90" s="17" t="s">
        <v>53</v>
      </c>
      <c r="AI90" s="17" t="s">
        <v>111</v>
      </c>
      <c r="AK90" s="17" t="s">
        <v>4</v>
      </c>
      <c r="AL90" s="17" t="s">
        <v>0</v>
      </c>
      <c r="AM90" s="17" t="s">
        <v>1</v>
      </c>
      <c r="AN90" s="17" t="s">
        <v>2</v>
      </c>
      <c r="AO90" s="17" t="s">
        <v>3</v>
      </c>
      <c r="AP90" s="17" t="s">
        <v>117</v>
      </c>
      <c r="AQ90" s="17" t="s">
        <v>53</v>
      </c>
      <c r="AR90" s="17" t="s">
        <v>111</v>
      </c>
      <c r="AT90" s="17" t="s">
        <v>4</v>
      </c>
      <c r="AU90" s="17" t="s">
        <v>0</v>
      </c>
      <c r="AV90" s="17" t="s">
        <v>1</v>
      </c>
      <c r="AW90" s="17" t="s">
        <v>2</v>
      </c>
      <c r="AX90" s="17" t="s">
        <v>3</v>
      </c>
      <c r="AY90" s="17" t="s">
        <v>117</v>
      </c>
      <c r="AZ90" s="17" t="s">
        <v>53</v>
      </c>
      <c r="BA90" s="17" t="s">
        <v>111</v>
      </c>
      <c r="BC90" s="17" t="s">
        <v>4</v>
      </c>
      <c r="BD90" s="17" t="s">
        <v>0</v>
      </c>
      <c r="BE90" s="17" t="s">
        <v>1</v>
      </c>
      <c r="BF90" s="17" t="s">
        <v>2</v>
      </c>
      <c r="BG90" s="17" t="s">
        <v>3</v>
      </c>
      <c r="BH90" s="17" t="s">
        <v>117</v>
      </c>
      <c r="BI90" s="17" t="s">
        <v>53</v>
      </c>
      <c r="BJ90" s="17" t="s">
        <v>111</v>
      </c>
      <c r="BL90" s="17" t="s">
        <v>4</v>
      </c>
      <c r="BM90" s="17" t="s">
        <v>0</v>
      </c>
      <c r="BN90" s="17" t="s">
        <v>1</v>
      </c>
      <c r="BO90" s="17" t="s">
        <v>2</v>
      </c>
      <c r="BP90" s="17" t="s">
        <v>3</v>
      </c>
      <c r="BQ90" s="17" t="s">
        <v>117</v>
      </c>
      <c r="BR90" s="17" t="s">
        <v>53</v>
      </c>
      <c r="BS90" s="17" t="s">
        <v>111</v>
      </c>
      <c r="BT90" s="3"/>
      <c r="BU90" s="3"/>
    </row>
    <row r="91" spans="1:73" ht="12.75">
      <c r="A91" s="17"/>
      <c r="B91" s="17"/>
      <c r="C91" s="17"/>
      <c r="D91" s="17"/>
      <c r="E91" s="17"/>
      <c r="F91" s="17"/>
      <c r="G91" s="28" t="s">
        <v>117</v>
      </c>
      <c r="H91" s="28" t="s">
        <v>117</v>
      </c>
      <c r="J91" s="17"/>
      <c r="K91" s="17"/>
      <c r="L91" s="17"/>
      <c r="M91" s="17"/>
      <c r="N91" s="17"/>
      <c r="O91" s="17"/>
      <c r="P91" s="28" t="s">
        <v>117</v>
      </c>
      <c r="Q91" s="28" t="s">
        <v>117</v>
      </c>
      <c r="S91" s="17"/>
      <c r="T91" s="17"/>
      <c r="U91" s="17"/>
      <c r="V91" s="17"/>
      <c r="W91" s="17"/>
      <c r="X91" s="17"/>
      <c r="Y91" s="28" t="s">
        <v>117</v>
      </c>
      <c r="Z91" s="28" t="s">
        <v>117</v>
      </c>
      <c r="AB91" s="17"/>
      <c r="AC91" s="17"/>
      <c r="AD91" s="17"/>
      <c r="AE91" s="17"/>
      <c r="AF91" s="17"/>
      <c r="AG91" s="17"/>
      <c r="AH91" s="28" t="s">
        <v>117</v>
      </c>
      <c r="AI91" s="28" t="s">
        <v>117</v>
      </c>
      <c r="AK91" s="17"/>
      <c r="AL91" s="17"/>
      <c r="AM91" s="17"/>
      <c r="AN91" s="17"/>
      <c r="AO91" s="17"/>
      <c r="AP91" s="17"/>
      <c r="AQ91" s="28" t="s">
        <v>117</v>
      </c>
      <c r="AR91" s="28" t="s">
        <v>117</v>
      </c>
      <c r="AT91" s="17"/>
      <c r="AU91" s="17"/>
      <c r="AV91" s="17"/>
      <c r="AW91" s="17"/>
      <c r="AX91" s="17"/>
      <c r="AY91" s="17"/>
      <c r="AZ91" s="28" t="s">
        <v>117</v>
      </c>
      <c r="BA91" s="28" t="s">
        <v>117</v>
      </c>
      <c r="BC91" s="17"/>
      <c r="BD91" s="17"/>
      <c r="BE91" s="17"/>
      <c r="BF91" s="17"/>
      <c r="BG91" s="17"/>
      <c r="BH91" s="17"/>
      <c r="BI91" s="28" t="s">
        <v>117</v>
      </c>
      <c r="BJ91" s="28" t="s">
        <v>117</v>
      </c>
      <c r="BL91" s="17"/>
      <c r="BM91" s="17"/>
      <c r="BN91" s="17"/>
      <c r="BO91" s="17"/>
      <c r="BP91" s="17"/>
      <c r="BQ91" s="17"/>
      <c r="BR91" s="28" t="s">
        <v>117</v>
      </c>
      <c r="BS91" s="28" t="s">
        <v>117</v>
      </c>
      <c r="BT91" s="3"/>
      <c r="BU91" s="3"/>
    </row>
    <row r="92" spans="1:71" ht="12.75">
      <c r="A92" s="2" t="s">
        <v>5</v>
      </c>
      <c r="B92" s="3">
        <v>71</v>
      </c>
      <c r="C92" s="3">
        <v>71</v>
      </c>
      <c r="D92" s="3">
        <v>75</v>
      </c>
      <c r="E92" s="4">
        <v>75</v>
      </c>
      <c r="F92" s="17">
        <v>78</v>
      </c>
      <c r="G92" s="7">
        <f>6746/26</f>
        <v>259.46153846153845</v>
      </c>
      <c r="H92" s="7">
        <f>(14039+35356+261+6746)/83</f>
        <v>679.5421686746988</v>
      </c>
      <c r="J92" s="3" t="s">
        <v>5</v>
      </c>
      <c r="K92" s="3">
        <v>189</v>
      </c>
      <c r="L92" s="3">
        <v>189</v>
      </c>
      <c r="M92" s="3">
        <v>191</v>
      </c>
      <c r="N92" s="4">
        <v>192</v>
      </c>
      <c r="O92" s="17">
        <v>194</v>
      </c>
      <c r="P92" s="7">
        <f>6746/26</f>
        <v>259.46153846153845</v>
      </c>
      <c r="Q92" s="7">
        <f>(14039+35356+261+6746)/83</f>
        <v>679.5421686746988</v>
      </c>
      <c r="S92" s="3" t="s">
        <v>5</v>
      </c>
      <c r="T92" s="3">
        <v>3</v>
      </c>
      <c r="U92" s="3">
        <v>3</v>
      </c>
      <c r="V92" s="3">
        <v>3</v>
      </c>
      <c r="W92" s="4">
        <v>3</v>
      </c>
      <c r="X92" s="17">
        <v>3</v>
      </c>
      <c r="Y92" s="7">
        <f>6746/26</f>
        <v>259.46153846153845</v>
      </c>
      <c r="Z92" s="7">
        <f>(14039+35356+261+6746)/83</f>
        <v>679.5421686746988</v>
      </c>
      <c r="AB92" s="3" t="s">
        <v>5</v>
      </c>
      <c r="AC92" s="3">
        <v>386</v>
      </c>
      <c r="AD92" s="3">
        <v>397</v>
      </c>
      <c r="AE92" s="3">
        <v>417</v>
      </c>
      <c r="AF92" s="4">
        <v>439</v>
      </c>
      <c r="AG92" s="17">
        <v>440</v>
      </c>
      <c r="AH92" s="7">
        <f>6746/26</f>
        <v>259.46153846153845</v>
      </c>
      <c r="AI92" s="7">
        <f>(14039+35356+261+6746)/83</f>
        <v>679.5421686746988</v>
      </c>
      <c r="AK92" s="3" t="s">
        <v>5</v>
      </c>
      <c r="AL92" s="3">
        <v>173</v>
      </c>
      <c r="AM92" s="3">
        <v>175</v>
      </c>
      <c r="AN92" s="3">
        <v>182</v>
      </c>
      <c r="AO92" s="4">
        <v>183</v>
      </c>
      <c r="AP92" s="17">
        <v>184</v>
      </c>
      <c r="AQ92" s="7">
        <f>6746/26</f>
        <v>259.46153846153845</v>
      </c>
      <c r="AR92" s="7">
        <f>(14039+35356+261+6746)/83</f>
        <v>679.5421686746988</v>
      </c>
      <c r="AT92" s="3" t="s">
        <v>5</v>
      </c>
      <c r="AU92" s="3">
        <v>235</v>
      </c>
      <c r="AV92" s="3">
        <v>238</v>
      </c>
      <c r="AW92" s="3">
        <v>237</v>
      </c>
      <c r="AX92" s="4">
        <v>237</v>
      </c>
      <c r="AY92" s="17">
        <v>237</v>
      </c>
      <c r="AZ92" s="7">
        <f>6746/26</f>
        <v>259.46153846153845</v>
      </c>
      <c r="BA92" s="7">
        <f>(14039+35356+261+6746)/83</f>
        <v>679.5421686746988</v>
      </c>
      <c r="BC92" s="3" t="s">
        <v>5</v>
      </c>
      <c r="BD92" s="3">
        <v>112</v>
      </c>
      <c r="BE92" s="3">
        <v>137</v>
      </c>
      <c r="BF92" s="3">
        <v>185</v>
      </c>
      <c r="BG92" s="4">
        <v>250</v>
      </c>
      <c r="BH92" s="17">
        <v>348</v>
      </c>
      <c r="BI92" s="7">
        <f>6746/26</f>
        <v>259.46153846153845</v>
      </c>
      <c r="BJ92" s="7">
        <f>(14039+35356+261+6746)/83</f>
        <v>679.5421686746988</v>
      </c>
      <c r="BL92" s="3" t="s">
        <v>5</v>
      </c>
      <c r="BM92" s="3"/>
      <c r="BO92" s="3"/>
      <c r="BP92" s="4">
        <v>3</v>
      </c>
      <c r="BQ92" s="17">
        <v>6</v>
      </c>
      <c r="BR92" s="7">
        <f>6746/26</f>
        <v>259.46153846153845</v>
      </c>
      <c r="BS92" s="7">
        <f>(14039+35356+261+6746)/83</f>
        <v>679.5421686746988</v>
      </c>
    </row>
    <row r="93" spans="1:71" ht="12.75">
      <c r="A93" s="2" t="s">
        <v>6</v>
      </c>
      <c r="B93" s="3">
        <v>538</v>
      </c>
      <c r="C93" s="3">
        <v>530</v>
      </c>
      <c r="D93" s="3">
        <v>533</v>
      </c>
      <c r="E93" s="4">
        <v>545</v>
      </c>
      <c r="F93" s="17">
        <v>544</v>
      </c>
      <c r="G93" s="7">
        <v>4189</v>
      </c>
      <c r="H93" s="7">
        <v>10458</v>
      </c>
      <c r="J93" s="3" t="s">
        <v>6</v>
      </c>
      <c r="K93" s="3">
        <v>2066</v>
      </c>
      <c r="L93" s="3">
        <v>2026</v>
      </c>
      <c r="M93" s="3">
        <v>1984</v>
      </c>
      <c r="N93" s="4">
        <v>1923</v>
      </c>
      <c r="O93" s="17"/>
      <c r="P93" s="7">
        <v>4189</v>
      </c>
      <c r="Q93" s="7">
        <v>10458</v>
      </c>
      <c r="S93" s="3" t="s">
        <v>6</v>
      </c>
      <c r="T93" s="3">
        <v>106</v>
      </c>
      <c r="U93" s="3">
        <v>104</v>
      </c>
      <c r="V93" s="3">
        <v>105</v>
      </c>
      <c r="W93" s="4">
        <v>103</v>
      </c>
      <c r="X93" s="17">
        <v>101</v>
      </c>
      <c r="Y93" s="7">
        <v>4189</v>
      </c>
      <c r="Z93" s="7">
        <v>10458</v>
      </c>
      <c r="AB93" s="3" t="s">
        <v>6</v>
      </c>
      <c r="AC93" s="3">
        <v>3697</v>
      </c>
      <c r="AD93" s="3">
        <v>3550</v>
      </c>
      <c r="AE93" s="3">
        <v>3534</v>
      </c>
      <c r="AF93" s="4">
        <v>3588</v>
      </c>
      <c r="AG93" s="17">
        <v>3709</v>
      </c>
      <c r="AH93" s="7">
        <v>4189</v>
      </c>
      <c r="AI93" s="7">
        <v>10458</v>
      </c>
      <c r="AK93" s="3" t="s">
        <v>6</v>
      </c>
      <c r="AL93" s="3">
        <v>2228</v>
      </c>
      <c r="AM93" s="13" t="s">
        <v>114</v>
      </c>
      <c r="AN93" s="3">
        <v>2189</v>
      </c>
      <c r="AO93" s="4">
        <v>2286</v>
      </c>
      <c r="AP93" s="17">
        <v>2295</v>
      </c>
      <c r="AQ93" s="7">
        <v>4189</v>
      </c>
      <c r="AR93" s="7">
        <v>10458</v>
      </c>
      <c r="AT93" s="3" t="s">
        <v>6</v>
      </c>
      <c r="AU93" s="3">
        <v>3347</v>
      </c>
      <c r="AV93" s="3">
        <v>3275</v>
      </c>
      <c r="AW93" s="3">
        <v>3213</v>
      </c>
      <c r="AX93" s="4">
        <v>3158</v>
      </c>
      <c r="AY93" s="17">
        <v>3062</v>
      </c>
      <c r="AZ93" s="7">
        <v>4189</v>
      </c>
      <c r="BA93" s="7">
        <v>10458</v>
      </c>
      <c r="BC93" s="3" t="s">
        <v>6</v>
      </c>
      <c r="BD93" s="3">
        <v>1721</v>
      </c>
      <c r="BE93" s="3">
        <v>2338</v>
      </c>
      <c r="BF93" s="3">
        <v>3447</v>
      </c>
      <c r="BG93" s="4">
        <v>4761</v>
      </c>
      <c r="BH93" s="17">
        <v>6553</v>
      </c>
      <c r="BI93" s="7">
        <v>4189</v>
      </c>
      <c r="BJ93" s="7">
        <v>10458</v>
      </c>
      <c r="BL93" s="3" t="s">
        <v>6</v>
      </c>
      <c r="BM93" s="3"/>
      <c r="BO93" s="3"/>
      <c r="BP93" s="4">
        <v>207</v>
      </c>
      <c r="BQ93" s="17">
        <v>627</v>
      </c>
      <c r="BR93" s="7">
        <v>4189</v>
      </c>
      <c r="BS93" s="7">
        <v>10458</v>
      </c>
    </row>
    <row r="94" spans="1:71" ht="12.75">
      <c r="A94" s="48" t="s">
        <v>20</v>
      </c>
      <c r="B94" s="6">
        <v>162.54</v>
      </c>
      <c r="C94" s="6">
        <v>179.73</v>
      </c>
      <c r="D94" s="6">
        <v>198.36</v>
      </c>
      <c r="E94" s="5">
        <v>220.75</v>
      </c>
      <c r="F94" s="18">
        <v>250.92</v>
      </c>
      <c r="G94" s="5">
        <v>677.86</v>
      </c>
      <c r="H94" s="6">
        <v>423.74</v>
      </c>
      <c r="I94" s="6"/>
      <c r="J94" s="6" t="s">
        <v>20</v>
      </c>
      <c r="K94" s="6">
        <v>83.34</v>
      </c>
      <c r="L94" s="6">
        <v>91.31</v>
      </c>
      <c r="M94" s="6">
        <v>95.7</v>
      </c>
      <c r="N94" s="5">
        <v>105.35</v>
      </c>
      <c r="O94" s="18"/>
      <c r="P94" s="5">
        <v>677.86</v>
      </c>
      <c r="Q94" s="6">
        <v>423.74</v>
      </c>
      <c r="R94" s="6"/>
      <c r="S94" s="6" t="s">
        <v>20</v>
      </c>
      <c r="T94" s="6">
        <v>739.09</v>
      </c>
      <c r="U94" s="6">
        <v>621.78</v>
      </c>
      <c r="V94" s="6">
        <v>570.69</v>
      </c>
      <c r="W94" s="5">
        <v>527.06</v>
      </c>
      <c r="X94" s="18">
        <v>626.43</v>
      </c>
      <c r="Y94" s="5">
        <v>677.86</v>
      </c>
      <c r="Z94" s="6">
        <v>423.74</v>
      </c>
      <c r="AA94" s="6"/>
      <c r="AB94" s="6" t="s">
        <v>20</v>
      </c>
      <c r="AC94" s="6">
        <v>218</v>
      </c>
      <c r="AD94" s="6">
        <v>265</v>
      </c>
      <c r="AE94" s="6">
        <v>306</v>
      </c>
      <c r="AF94" s="5">
        <v>352</v>
      </c>
      <c r="AG94" s="18">
        <v>422</v>
      </c>
      <c r="AH94" s="5">
        <v>677.86</v>
      </c>
      <c r="AI94" s="6">
        <v>423.74</v>
      </c>
      <c r="AJ94" s="6"/>
      <c r="AK94" s="6" t="s">
        <v>20</v>
      </c>
      <c r="AL94" s="6">
        <v>245.45</v>
      </c>
      <c r="AM94" s="6">
        <v>270.83</v>
      </c>
      <c r="AN94" s="6">
        <v>292.43</v>
      </c>
      <c r="AO94" s="5">
        <v>316.97</v>
      </c>
      <c r="AP94" s="18">
        <v>358.29</v>
      </c>
      <c r="AQ94" s="5">
        <v>677.86</v>
      </c>
      <c r="AR94" s="6">
        <v>423.74</v>
      </c>
      <c r="AS94" s="6"/>
      <c r="AT94" s="6" t="s">
        <v>20</v>
      </c>
      <c r="AU94" s="6">
        <v>207</v>
      </c>
      <c r="AV94" s="6">
        <v>242</v>
      </c>
      <c r="AW94" s="6">
        <v>290</v>
      </c>
      <c r="AX94" s="5">
        <v>309</v>
      </c>
      <c r="AY94" s="18">
        <v>324</v>
      </c>
      <c r="AZ94" s="5">
        <v>677.86</v>
      </c>
      <c r="BA94" s="6">
        <v>423.74</v>
      </c>
      <c r="BB94" s="6"/>
      <c r="BC94" s="6" t="s">
        <v>20</v>
      </c>
      <c r="BD94" s="6">
        <v>896</v>
      </c>
      <c r="BE94" s="6">
        <v>926</v>
      </c>
      <c r="BF94" s="6">
        <v>808</v>
      </c>
      <c r="BG94" s="5">
        <v>1021</v>
      </c>
      <c r="BH94" s="18">
        <v>1020</v>
      </c>
      <c r="BI94" s="5">
        <v>677.86</v>
      </c>
      <c r="BJ94" s="6">
        <v>423.74</v>
      </c>
      <c r="BK94" s="6"/>
      <c r="BL94" s="6" t="s">
        <v>20</v>
      </c>
      <c r="BM94" s="6"/>
      <c r="BN94" s="6"/>
      <c r="BO94" s="6"/>
      <c r="BP94" s="5">
        <v>687.93</v>
      </c>
      <c r="BQ94" s="18">
        <v>848.08</v>
      </c>
      <c r="BR94" s="5">
        <v>677.86</v>
      </c>
      <c r="BS94" s="6">
        <v>423.74</v>
      </c>
    </row>
    <row r="95" spans="1:71" ht="12.75">
      <c r="A95" s="48" t="s">
        <v>56</v>
      </c>
      <c r="B95" s="6">
        <v>1.27</v>
      </c>
      <c r="C95" s="6">
        <v>1.81</v>
      </c>
      <c r="D95" s="5">
        <v>1.58</v>
      </c>
      <c r="E95" s="5">
        <v>-1.73</v>
      </c>
      <c r="F95" s="18">
        <v>0.11</v>
      </c>
      <c r="G95" s="5">
        <v>4.6</v>
      </c>
      <c r="H95" s="6">
        <v>2.84</v>
      </c>
      <c r="I95" s="6"/>
      <c r="J95" s="6" t="s">
        <v>56</v>
      </c>
      <c r="K95" s="6">
        <v>0.5</v>
      </c>
      <c r="L95" s="6">
        <v>0.59</v>
      </c>
      <c r="M95" s="5">
        <v>0.62</v>
      </c>
      <c r="N95" s="5">
        <v>-1.66</v>
      </c>
      <c r="O95" s="18"/>
      <c r="P95" s="5">
        <v>4.6</v>
      </c>
      <c r="Q95" s="6">
        <v>2.84</v>
      </c>
      <c r="R95" s="6"/>
      <c r="S95" s="6" t="s">
        <v>56</v>
      </c>
      <c r="T95" s="6">
        <v>2.87</v>
      </c>
      <c r="U95" s="6">
        <v>-7.71</v>
      </c>
      <c r="V95" s="5">
        <v>17.12</v>
      </c>
      <c r="W95" s="5">
        <v>-9.73</v>
      </c>
      <c r="X95" s="18">
        <v>5.7</v>
      </c>
      <c r="Y95" s="5">
        <v>4.6</v>
      </c>
      <c r="Z95" s="6">
        <v>2.84</v>
      </c>
      <c r="AA95" s="6"/>
      <c r="AB95" s="6" t="s">
        <v>56</v>
      </c>
      <c r="AC95" s="6">
        <v>1.68</v>
      </c>
      <c r="AD95" s="6">
        <v>2.04</v>
      </c>
      <c r="AE95" s="5">
        <v>2.39</v>
      </c>
      <c r="AF95" s="5">
        <v>0.24</v>
      </c>
      <c r="AG95" s="18">
        <v>1.37</v>
      </c>
      <c r="AH95" s="5">
        <v>4.6</v>
      </c>
      <c r="AI95" s="6">
        <v>2.84</v>
      </c>
      <c r="AJ95" s="6"/>
      <c r="AK95" s="6" t="s">
        <v>56</v>
      </c>
      <c r="AL95" s="6">
        <v>2.48</v>
      </c>
      <c r="AM95" s="6">
        <v>2.88</v>
      </c>
      <c r="AN95" s="5">
        <v>3.69</v>
      </c>
      <c r="AO95" s="5">
        <v>3.6</v>
      </c>
      <c r="AP95" s="18">
        <v>4.41</v>
      </c>
      <c r="AQ95" s="5">
        <v>4.6</v>
      </c>
      <c r="AR95" s="6">
        <v>2.84</v>
      </c>
      <c r="AS95" s="6"/>
      <c r="AT95" s="6" t="s">
        <v>56</v>
      </c>
      <c r="AU95" s="6">
        <v>0.77</v>
      </c>
      <c r="AV95" s="6">
        <v>0.83</v>
      </c>
      <c r="AW95" s="5">
        <v>0.96</v>
      </c>
      <c r="AX95" s="5">
        <v>-3.12</v>
      </c>
      <c r="AY95" s="18">
        <v>-3.48</v>
      </c>
      <c r="AZ95" s="5">
        <v>4.6</v>
      </c>
      <c r="BA95" s="6">
        <v>2.84</v>
      </c>
      <c r="BB95" s="6"/>
      <c r="BC95" s="6" t="s">
        <v>56</v>
      </c>
      <c r="BD95" s="6">
        <v>7.79</v>
      </c>
      <c r="BE95" s="6">
        <v>8.22</v>
      </c>
      <c r="BF95" s="5">
        <v>8.07</v>
      </c>
      <c r="BG95" s="5">
        <v>8.02</v>
      </c>
      <c r="BH95" s="18">
        <v>8.69</v>
      </c>
      <c r="BI95" s="5">
        <v>4.6</v>
      </c>
      <c r="BJ95" s="6">
        <v>2.84</v>
      </c>
      <c r="BK95" s="6"/>
      <c r="BL95" s="6" t="s">
        <v>56</v>
      </c>
      <c r="BM95" s="6"/>
      <c r="BN95" s="6"/>
      <c r="BO95" s="5"/>
      <c r="BP95" s="5">
        <v>-1.82</v>
      </c>
      <c r="BQ95" s="18">
        <v>8.82</v>
      </c>
      <c r="BR95" s="5">
        <v>4.6</v>
      </c>
      <c r="BS95" s="6">
        <v>2.84</v>
      </c>
    </row>
    <row r="96" spans="1:71" ht="12.75">
      <c r="A96" s="2"/>
      <c r="B96" s="3"/>
      <c r="C96" s="3"/>
      <c r="D96" s="3"/>
      <c r="E96" s="4"/>
      <c r="F96" s="17"/>
      <c r="G96" s="3"/>
      <c r="J96" s="3"/>
      <c r="K96" s="3"/>
      <c r="L96" s="3"/>
      <c r="M96" s="3"/>
      <c r="N96" s="4"/>
      <c r="O96" s="17"/>
      <c r="P96" s="3"/>
      <c r="Q96" s="3"/>
      <c r="S96" s="3"/>
      <c r="T96" s="3"/>
      <c r="U96" s="3"/>
      <c r="V96" s="3"/>
      <c r="W96" s="4"/>
      <c r="X96" s="17"/>
      <c r="Y96" s="3"/>
      <c r="Z96" s="3"/>
      <c r="AB96" s="3"/>
      <c r="AC96" s="3"/>
      <c r="AD96" s="3"/>
      <c r="AE96" s="3"/>
      <c r="AF96" s="4"/>
      <c r="AG96" s="17"/>
      <c r="AH96" s="3"/>
      <c r="AI96" s="3"/>
      <c r="AK96" s="3"/>
      <c r="AL96" s="3"/>
      <c r="AM96" s="3"/>
      <c r="AN96" s="3"/>
      <c r="AO96" s="4"/>
      <c r="AP96" s="17"/>
      <c r="AQ96" s="3"/>
      <c r="AR96" s="3"/>
      <c r="AT96" s="3"/>
      <c r="AU96" s="3"/>
      <c r="AV96" s="3"/>
      <c r="AW96" s="3"/>
      <c r="AX96" s="4"/>
      <c r="AY96" s="17"/>
      <c r="AZ96" s="3"/>
      <c r="BA96" s="3"/>
      <c r="BC96" s="3"/>
      <c r="BD96" s="3"/>
      <c r="BE96" s="3"/>
      <c r="BF96" s="3"/>
      <c r="BG96" s="4"/>
      <c r="BH96" s="17"/>
      <c r="BI96" s="3"/>
      <c r="BJ96" s="3"/>
      <c r="BL96" s="3"/>
      <c r="BM96" s="3"/>
      <c r="BO96" s="3"/>
      <c r="BP96" s="4"/>
      <c r="BQ96" s="17"/>
      <c r="BR96" s="3"/>
      <c r="BS96" s="3"/>
    </row>
    <row r="97" spans="1:71" ht="12.75">
      <c r="A97" s="2" t="s">
        <v>119</v>
      </c>
      <c r="B97" s="3">
        <f>10+24</f>
        <v>34</v>
      </c>
      <c r="C97" s="3">
        <f>12+29</f>
        <v>41</v>
      </c>
      <c r="D97" s="3">
        <f>18+35</f>
        <v>53</v>
      </c>
      <c r="E97" s="4">
        <f>19+26</f>
        <v>45</v>
      </c>
      <c r="F97" s="17">
        <v>54</v>
      </c>
      <c r="G97" s="7">
        <f>(3910+39819)/26</f>
        <v>1681.8846153846155</v>
      </c>
      <c r="H97" s="7">
        <f>(25180+157847)/83</f>
        <v>2205.144578313253</v>
      </c>
      <c r="J97" s="3" t="s">
        <v>119</v>
      </c>
      <c r="K97" s="3">
        <f>17+53</f>
        <v>70</v>
      </c>
      <c r="L97" s="3">
        <f>20+60</f>
        <v>80</v>
      </c>
      <c r="M97" s="3">
        <f>22+64</f>
        <v>86</v>
      </c>
      <c r="N97" s="4">
        <v>85</v>
      </c>
      <c r="O97" s="17"/>
      <c r="P97" s="7">
        <f>(3910+39819)/26</f>
        <v>1681.8846153846155</v>
      </c>
      <c r="Q97" s="7">
        <f>(25180+157847)/83</f>
        <v>2205.144578313253</v>
      </c>
      <c r="S97" s="3" t="s">
        <v>119</v>
      </c>
      <c r="T97" s="3">
        <f>100-11</f>
        <v>89</v>
      </c>
      <c r="U97" s="3">
        <f>100-20</f>
        <v>80</v>
      </c>
      <c r="V97" s="3">
        <f>100-2</f>
        <v>98</v>
      </c>
      <c r="W97" s="4">
        <f>100-12</f>
        <v>88</v>
      </c>
      <c r="X97" s="17">
        <v>94</v>
      </c>
      <c r="Y97" s="7">
        <f>(3910+39819)/26</f>
        <v>1681.8846153846155</v>
      </c>
      <c r="Z97" s="7">
        <f>(25180+157847)/83</f>
        <v>2205.144578313253</v>
      </c>
      <c r="AB97" s="3" t="s">
        <v>119</v>
      </c>
      <c r="AC97" s="3">
        <f>36+239</f>
        <v>275</v>
      </c>
      <c r="AD97" s="3">
        <f>36+285</f>
        <v>321</v>
      </c>
      <c r="AE97" s="3">
        <f>36+359</f>
        <v>395</v>
      </c>
      <c r="AF97" s="4">
        <f>48+408</f>
        <v>456</v>
      </c>
      <c r="AG97" s="17">
        <v>641</v>
      </c>
      <c r="AH97" s="7">
        <f>(3910+39819)/26</f>
        <v>1681.8846153846155</v>
      </c>
      <c r="AI97" s="7">
        <f>(25180+157847)/83</f>
        <v>2205.144578313253</v>
      </c>
      <c r="AK97" s="3" t="s">
        <v>119</v>
      </c>
      <c r="AL97" s="7">
        <f>0.28+332</f>
        <v>332.28</v>
      </c>
      <c r="AM97" s="7">
        <f>0.28+397</f>
        <v>397.28</v>
      </c>
      <c r="AN97" s="7">
        <f>0.28+477</f>
        <v>477.28</v>
      </c>
      <c r="AO97" s="10">
        <f>0.28+559</f>
        <v>559.28</v>
      </c>
      <c r="AP97" s="21">
        <v>657</v>
      </c>
      <c r="AQ97" s="7">
        <f>(3910+39819)/26</f>
        <v>1681.8846153846155</v>
      </c>
      <c r="AR97" s="7">
        <f>(25180+157847)/83</f>
        <v>2205.144578313253</v>
      </c>
      <c r="AT97" s="3" t="s">
        <v>119</v>
      </c>
      <c r="AU97" s="3">
        <f>30+224</f>
        <v>254</v>
      </c>
      <c r="AV97" s="3">
        <f>30+249</f>
        <v>279</v>
      </c>
      <c r="AW97" s="3">
        <f>30+274</f>
        <v>304</v>
      </c>
      <c r="AX97" s="4">
        <f>30+214</f>
        <v>244</v>
      </c>
      <c r="AY97" s="17">
        <v>301</v>
      </c>
      <c r="AZ97" s="7">
        <f>(3910+39819)/26</f>
        <v>1681.8846153846155</v>
      </c>
      <c r="BA97" s="7">
        <f>(25180+157847)/83</f>
        <v>2205.144578313253</v>
      </c>
      <c r="BC97" s="3" t="s">
        <v>119</v>
      </c>
      <c r="BD97" s="3">
        <f>192+423</f>
        <v>615</v>
      </c>
      <c r="BE97" s="3">
        <f>230+688</f>
        <v>918</v>
      </c>
      <c r="BF97" s="3">
        <f>232+906</f>
        <v>1138</v>
      </c>
      <c r="BG97" s="4">
        <f>274+2148</f>
        <v>2422</v>
      </c>
      <c r="BH97" s="17">
        <v>2886</v>
      </c>
      <c r="BI97" s="7">
        <f>(3910+39819)/26</f>
        <v>1681.8846153846155</v>
      </c>
      <c r="BJ97" s="7">
        <f>(25180+157847)/83</f>
        <v>2205.144578313253</v>
      </c>
      <c r="BL97" s="3" t="s">
        <v>119</v>
      </c>
      <c r="BM97" s="3"/>
      <c r="BO97" s="3"/>
      <c r="BP97" s="4">
        <f>200+17</f>
        <v>217</v>
      </c>
      <c r="BQ97" s="17">
        <v>573</v>
      </c>
      <c r="BR97" s="7">
        <f>(3910+39819)/26</f>
        <v>1681.8846153846155</v>
      </c>
      <c r="BS97" s="7">
        <f>(25180+157847)/83</f>
        <v>2205.144578313253</v>
      </c>
    </row>
    <row r="98" spans="1:71" ht="12.75">
      <c r="A98" s="2" t="s">
        <v>7</v>
      </c>
      <c r="B98" s="3">
        <v>604</v>
      </c>
      <c r="C98" s="3">
        <v>642</v>
      </c>
      <c r="D98" s="4">
        <v>715</v>
      </c>
      <c r="E98" s="4">
        <v>784</v>
      </c>
      <c r="F98" s="17">
        <v>874</v>
      </c>
      <c r="G98" s="7">
        <f>426247/26</f>
        <v>16394.115384615383</v>
      </c>
      <c r="H98" s="7">
        <f>2162472/83</f>
        <v>26053.87951807229</v>
      </c>
      <c r="J98" s="3" t="s">
        <v>7</v>
      </c>
      <c r="K98" s="3">
        <v>1613</v>
      </c>
      <c r="L98" s="3">
        <v>1678</v>
      </c>
      <c r="M98" s="4">
        <v>1859</v>
      </c>
      <c r="N98" s="4">
        <v>1985</v>
      </c>
      <c r="O98" s="17"/>
      <c r="P98" s="7">
        <f>426247/26</f>
        <v>16394.115384615383</v>
      </c>
      <c r="Q98" s="7">
        <f>2162472/83</f>
        <v>26053.87951807229</v>
      </c>
      <c r="S98" s="3" t="s">
        <v>7</v>
      </c>
      <c r="T98" s="3">
        <v>562</v>
      </c>
      <c r="U98" s="3">
        <v>494</v>
      </c>
      <c r="V98" s="4">
        <v>373</v>
      </c>
      <c r="W98" s="4">
        <v>331</v>
      </c>
      <c r="X98" s="17">
        <v>378</v>
      </c>
      <c r="Y98" s="7">
        <f>426247/26</f>
        <v>16394.115384615383</v>
      </c>
      <c r="Z98" s="7">
        <f>2162472/83</f>
        <v>26053.87951807229</v>
      </c>
      <c r="AB98" s="3" t="s">
        <v>7</v>
      </c>
      <c r="AC98" s="3">
        <v>5920</v>
      </c>
      <c r="AD98" s="3">
        <v>6861</v>
      </c>
      <c r="AE98" s="4">
        <v>8280</v>
      </c>
      <c r="AF98" s="4">
        <v>8492</v>
      </c>
      <c r="AG98" s="17">
        <v>9579</v>
      </c>
      <c r="AH98" s="7">
        <f>426247/26</f>
        <v>16394.115384615383</v>
      </c>
      <c r="AI98" s="7">
        <f>2162472/83</f>
        <v>26053.87951807229</v>
      </c>
      <c r="AK98" s="3" t="s">
        <v>7</v>
      </c>
      <c r="AL98" s="3">
        <v>3730</v>
      </c>
      <c r="AM98" s="3">
        <v>4085</v>
      </c>
      <c r="AN98" s="4">
        <v>4404</v>
      </c>
      <c r="AO98" s="4">
        <v>4827</v>
      </c>
      <c r="AP98" s="17">
        <v>5203</v>
      </c>
      <c r="AQ98" s="7">
        <f>426247/26</f>
        <v>16394.115384615383</v>
      </c>
      <c r="AR98" s="7">
        <f>2162472/83</f>
        <v>26053.87951807229</v>
      </c>
      <c r="AT98" s="3" t="s">
        <v>7</v>
      </c>
      <c r="AU98" s="3">
        <v>4491</v>
      </c>
      <c r="AV98" s="3">
        <v>5391</v>
      </c>
      <c r="AW98" s="4">
        <v>6430</v>
      </c>
      <c r="AX98" s="4">
        <v>6453</v>
      </c>
      <c r="AY98" s="17">
        <v>6480</v>
      </c>
      <c r="AZ98" s="7">
        <f>426247/26</f>
        <v>16394.115384615383</v>
      </c>
      <c r="BA98" s="7">
        <f>2162472/83</f>
        <v>26053.87951807229</v>
      </c>
      <c r="BC98" s="3" t="s">
        <v>7</v>
      </c>
      <c r="BD98" s="3">
        <v>12287</v>
      </c>
      <c r="BE98" s="3">
        <v>16965</v>
      </c>
      <c r="BF98" s="4">
        <v>20954</v>
      </c>
      <c r="BG98" s="4">
        <v>31712</v>
      </c>
      <c r="BH98" s="17">
        <v>40114</v>
      </c>
      <c r="BI98" s="7">
        <f>426247/26</f>
        <v>16394.115384615383</v>
      </c>
      <c r="BJ98" s="7">
        <f>2162472/83</f>
        <v>26053.87951807229</v>
      </c>
      <c r="BL98" s="3" t="s">
        <v>7</v>
      </c>
      <c r="BM98" s="3"/>
      <c r="BO98" s="4"/>
      <c r="BP98" s="4">
        <v>663</v>
      </c>
      <c r="BQ98" s="17">
        <v>2910</v>
      </c>
      <c r="BR98" s="7">
        <f>426247/26</f>
        <v>16394.115384615383</v>
      </c>
      <c r="BS98" s="7">
        <f>2162472/83</f>
        <v>26053.87951807229</v>
      </c>
    </row>
    <row r="99" spans="1:71" ht="12.75">
      <c r="A99" s="2" t="s">
        <v>8</v>
      </c>
      <c r="B99" s="3">
        <v>253</v>
      </c>
      <c r="C99" s="4">
        <v>271</v>
      </c>
      <c r="D99" s="4">
        <v>288</v>
      </c>
      <c r="E99" s="4">
        <v>265</v>
      </c>
      <c r="F99" s="17">
        <v>277</v>
      </c>
      <c r="G99" s="7">
        <f>179662/26</f>
        <v>6910.076923076923</v>
      </c>
      <c r="H99" s="7">
        <f>866961/83</f>
        <v>10445.313253012047</v>
      </c>
      <c r="J99" s="3" t="s">
        <v>8</v>
      </c>
      <c r="K99" s="3">
        <v>686</v>
      </c>
      <c r="L99" s="4">
        <v>953</v>
      </c>
      <c r="M99" s="4">
        <v>1080</v>
      </c>
      <c r="N99" s="4">
        <v>920</v>
      </c>
      <c r="O99" s="17"/>
      <c r="P99" s="7">
        <f>179662/26</f>
        <v>6910.076923076923</v>
      </c>
      <c r="Q99" s="7">
        <f>866961/83</f>
        <v>10445.313253012047</v>
      </c>
      <c r="S99" s="3" t="s">
        <v>8</v>
      </c>
      <c r="T99" s="3">
        <v>190</v>
      </c>
      <c r="U99" s="4">
        <v>149</v>
      </c>
      <c r="V99" s="4">
        <v>143</v>
      </c>
      <c r="W99" s="4">
        <v>101</v>
      </c>
      <c r="X99" s="17">
        <v>111</v>
      </c>
      <c r="Y99" s="7">
        <f>179662/26</f>
        <v>6910.076923076923</v>
      </c>
      <c r="Z99" s="7">
        <f>866961/83</f>
        <v>10445.313253012047</v>
      </c>
      <c r="AB99" s="3" t="s">
        <v>8</v>
      </c>
      <c r="AC99" s="3">
        <v>2181</v>
      </c>
      <c r="AD99" s="4">
        <v>2999</v>
      </c>
      <c r="AE99" s="4">
        <v>3962</v>
      </c>
      <c r="AF99" s="4">
        <v>3133</v>
      </c>
      <c r="AG99" s="17">
        <v>2739</v>
      </c>
      <c r="AH99" s="7">
        <f>179662/26</f>
        <v>6910.076923076923</v>
      </c>
      <c r="AI99" s="7">
        <f>866961/83</f>
        <v>10445.313253012047</v>
      </c>
      <c r="AK99" s="3" t="s">
        <v>8</v>
      </c>
      <c r="AL99" s="3">
        <v>1816</v>
      </c>
      <c r="AM99" s="4">
        <v>2142</v>
      </c>
      <c r="AN99" s="4">
        <v>2354</v>
      </c>
      <c r="AO99" s="4">
        <v>2286</v>
      </c>
      <c r="AP99" s="17">
        <v>2362</v>
      </c>
      <c r="AQ99" s="7">
        <f>179662/26</f>
        <v>6910.076923076923</v>
      </c>
      <c r="AR99" s="7">
        <f>866961/83</f>
        <v>10445.313253012047</v>
      </c>
      <c r="AT99" s="3" t="s">
        <v>8</v>
      </c>
      <c r="AU99" s="3">
        <v>1678</v>
      </c>
      <c r="AV99" s="4">
        <v>1915</v>
      </c>
      <c r="AW99" s="4">
        <v>2413</v>
      </c>
      <c r="AX99" s="4">
        <v>2102</v>
      </c>
      <c r="AY99" s="17">
        <v>2214</v>
      </c>
      <c r="AZ99" s="7">
        <f>179662/26</f>
        <v>6910.076923076923</v>
      </c>
      <c r="BA99" s="7">
        <f>866961/83</f>
        <v>10445.313253012047</v>
      </c>
      <c r="BC99" s="3" t="s">
        <v>8</v>
      </c>
      <c r="BD99" s="3">
        <v>5678</v>
      </c>
      <c r="BE99" s="4">
        <v>7841</v>
      </c>
      <c r="BF99" s="4">
        <v>7793</v>
      </c>
      <c r="BG99" s="4">
        <v>15048</v>
      </c>
      <c r="BH99" s="17">
        <v>21527</v>
      </c>
      <c r="BI99" s="7">
        <f>179662/26</f>
        <v>6910.076923076923</v>
      </c>
      <c r="BJ99" s="7">
        <f>866961/83</f>
        <v>10445.313253012047</v>
      </c>
      <c r="BL99" s="3" t="s">
        <v>8</v>
      </c>
      <c r="BM99" s="3"/>
      <c r="BO99" s="4"/>
      <c r="BP99" s="4">
        <v>395</v>
      </c>
      <c r="BQ99" s="17">
        <v>1350</v>
      </c>
      <c r="BR99" s="7">
        <f>179662/26</f>
        <v>6910.076923076923</v>
      </c>
      <c r="BS99" s="7">
        <f>866961/83</f>
        <v>10445.313253012047</v>
      </c>
    </row>
    <row r="100" spans="1:71" ht="12.75">
      <c r="A100" s="2" t="s">
        <v>9</v>
      </c>
      <c r="B100" s="3">
        <v>270</v>
      </c>
      <c r="C100" s="4">
        <v>312</v>
      </c>
      <c r="D100" s="4">
        <v>346</v>
      </c>
      <c r="E100" s="4">
        <v>424</v>
      </c>
      <c r="F100" s="17">
        <v>491</v>
      </c>
      <c r="G100" s="7">
        <f>311986/26</f>
        <v>11999.461538461539</v>
      </c>
      <c r="H100" s="7">
        <f>1515667/83</f>
        <v>18261.048192771083</v>
      </c>
      <c r="J100" s="3" t="s">
        <v>9</v>
      </c>
      <c r="K100" s="3">
        <v>563</v>
      </c>
      <c r="L100" s="4">
        <v>568</v>
      </c>
      <c r="M100" s="4">
        <v>648</v>
      </c>
      <c r="N100" s="4">
        <v>812</v>
      </c>
      <c r="O100" s="17"/>
      <c r="P100" s="7">
        <f>311986/26</f>
        <v>11999.461538461539</v>
      </c>
      <c r="Q100" s="7">
        <f>1515667/83</f>
        <v>18261.048192771083</v>
      </c>
      <c r="S100" s="3" t="s">
        <v>9</v>
      </c>
      <c r="T100" s="3">
        <v>245</v>
      </c>
      <c r="U100" s="4">
        <v>176</v>
      </c>
      <c r="V100" s="4">
        <v>121</v>
      </c>
      <c r="W100" s="4">
        <v>231</v>
      </c>
      <c r="X100" s="17">
        <v>254</v>
      </c>
      <c r="Y100" s="7">
        <f>311986/26</f>
        <v>11999.461538461539</v>
      </c>
      <c r="Z100" s="7">
        <f>1515667/83</f>
        <v>18261.048192771083</v>
      </c>
      <c r="AB100" s="3" t="s">
        <v>9</v>
      </c>
      <c r="AC100" s="3">
        <v>3231</v>
      </c>
      <c r="AD100" s="4">
        <v>3613</v>
      </c>
      <c r="AE100" s="4">
        <v>4197</v>
      </c>
      <c r="AF100" s="4">
        <v>5365</v>
      </c>
      <c r="AG100" s="17">
        <v>6370</v>
      </c>
      <c r="AH100" s="7">
        <f>311986/26</f>
        <v>11999.461538461539</v>
      </c>
      <c r="AI100" s="7">
        <f>1515667/83</f>
        <v>18261.048192771083</v>
      </c>
      <c r="AK100" s="3" t="s">
        <v>9</v>
      </c>
      <c r="AL100" s="3">
        <v>1773</v>
      </c>
      <c r="AM100" s="4">
        <v>1960</v>
      </c>
      <c r="AN100" s="4">
        <v>2114</v>
      </c>
      <c r="AO100" s="4">
        <v>2626</v>
      </c>
      <c r="AP100" s="17">
        <v>3126</v>
      </c>
      <c r="AQ100" s="7">
        <f>311986/26</f>
        <v>11999.461538461539</v>
      </c>
      <c r="AR100" s="7">
        <f>1515667/83</f>
        <v>18261.048192771083</v>
      </c>
      <c r="AT100" s="3" t="s">
        <v>9</v>
      </c>
      <c r="AU100" s="3">
        <v>2658</v>
      </c>
      <c r="AV100" s="4">
        <v>3145</v>
      </c>
      <c r="AW100" s="4">
        <v>3744</v>
      </c>
      <c r="AX100" s="4">
        <v>3976</v>
      </c>
      <c r="AY100" s="17">
        <v>4006</v>
      </c>
      <c r="AZ100" s="7">
        <f>311986/26</f>
        <v>11999.461538461539</v>
      </c>
      <c r="BA100" s="7">
        <f>1515667/83</f>
        <v>18261.048192771083</v>
      </c>
      <c r="BC100" s="3" t="s">
        <v>9</v>
      </c>
      <c r="BD100" s="3">
        <v>5352</v>
      </c>
      <c r="BE100" s="4">
        <v>7180</v>
      </c>
      <c r="BF100" s="4">
        <v>9363</v>
      </c>
      <c r="BG100" s="4">
        <v>15603</v>
      </c>
      <c r="BH100" s="17">
        <v>22314</v>
      </c>
      <c r="BI100" s="7">
        <f>311986/26</f>
        <v>11999.461538461539</v>
      </c>
      <c r="BJ100" s="7">
        <f>1515667/83</f>
        <v>18261.048192771083</v>
      </c>
      <c r="BL100" s="3" t="s">
        <v>9</v>
      </c>
      <c r="BM100" s="3"/>
      <c r="BO100" s="4"/>
      <c r="BP100" s="4">
        <v>761</v>
      </c>
      <c r="BQ100" s="17">
        <v>2407</v>
      </c>
      <c r="BR100" s="7">
        <f>311986/26</f>
        <v>11999.461538461539</v>
      </c>
      <c r="BS100" s="7">
        <f>1515667/83</f>
        <v>18261.048192771083</v>
      </c>
    </row>
    <row r="101" spans="1:71" ht="12.75">
      <c r="A101" s="2"/>
      <c r="B101" s="3"/>
      <c r="C101" s="3"/>
      <c r="D101" s="3"/>
      <c r="E101" s="4"/>
      <c r="F101" s="17"/>
      <c r="G101" s="7"/>
      <c r="H101" s="7"/>
      <c r="J101" s="3"/>
      <c r="K101" s="3"/>
      <c r="L101" s="3"/>
      <c r="M101" s="3"/>
      <c r="N101" s="4"/>
      <c r="O101" s="17"/>
      <c r="P101" s="7"/>
      <c r="Q101" s="7"/>
      <c r="S101" s="3"/>
      <c r="T101" s="3"/>
      <c r="U101" s="3"/>
      <c r="V101" s="3"/>
      <c r="W101" s="4"/>
      <c r="X101" s="17"/>
      <c r="Y101" s="7"/>
      <c r="Z101" s="7"/>
      <c r="AB101" s="3"/>
      <c r="AC101" s="3"/>
      <c r="AD101" s="3"/>
      <c r="AE101" s="3"/>
      <c r="AF101" s="4"/>
      <c r="AG101" s="17"/>
      <c r="AH101" s="7"/>
      <c r="AI101" s="7"/>
      <c r="AK101" s="3"/>
      <c r="AL101" s="3"/>
      <c r="AM101" s="3"/>
      <c r="AN101" s="3"/>
      <c r="AO101" s="4"/>
      <c r="AP101" s="17"/>
      <c r="AQ101" s="7"/>
      <c r="AR101" s="7"/>
      <c r="AT101" s="3"/>
      <c r="AU101" s="3"/>
      <c r="AV101" s="3"/>
      <c r="AW101" s="3"/>
      <c r="AX101" s="4"/>
      <c r="AY101" s="17"/>
      <c r="AZ101" s="7"/>
      <c r="BA101" s="7"/>
      <c r="BC101" s="3"/>
      <c r="BD101" s="3"/>
      <c r="BE101" s="3"/>
      <c r="BF101" s="3"/>
      <c r="BG101" s="4"/>
      <c r="BH101" s="17"/>
      <c r="BI101" s="7"/>
      <c r="BJ101" s="7"/>
      <c r="BL101" s="3"/>
      <c r="BM101" s="3"/>
      <c r="BO101" s="3"/>
      <c r="BP101" s="4"/>
      <c r="BQ101" s="17"/>
      <c r="BR101" s="7"/>
      <c r="BS101" s="7"/>
    </row>
    <row r="102" spans="1:71" ht="12.75">
      <c r="A102" s="2" t="s">
        <v>10</v>
      </c>
      <c r="B102" s="4">
        <v>64</v>
      </c>
      <c r="C102" s="4">
        <v>65</v>
      </c>
      <c r="D102" s="4">
        <v>65</v>
      </c>
      <c r="E102" s="4">
        <v>66</v>
      </c>
      <c r="F102" s="17">
        <v>70</v>
      </c>
      <c r="G102" s="7">
        <f>34530/26</f>
        <v>1328.076923076923</v>
      </c>
      <c r="H102" s="7">
        <f>184377/83</f>
        <v>2221.409638554217</v>
      </c>
      <c r="J102" s="3" t="s">
        <v>10</v>
      </c>
      <c r="K102" s="4">
        <v>139</v>
      </c>
      <c r="L102" s="4">
        <v>139</v>
      </c>
      <c r="M102" s="4">
        <v>135</v>
      </c>
      <c r="N102" s="4">
        <v>137</v>
      </c>
      <c r="O102" s="17"/>
      <c r="P102" s="7">
        <f>34530/26</f>
        <v>1328.076923076923</v>
      </c>
      <c r="Q102" s="7">
        <f>184377/83</f>
        <v>2221.409638554217</v>
      </c>
      <c r="S102" s="3" t="s">
        <v>10</v>
      </c>
      <c r="T102" s="4">
        <f>57</f>
        <v>57</v>
      </c>
      <c r="U102" s="4">
        <v>49</v>
      </c>
      <c r="V102" s="4">
        <v>40</v>
      </c>
      <c r="W102" s="4">
        <v>26</v>
      </c>
      <c r="X102" s="17">
        <v>36</v>
      </c>
      <c r="Y102" s="7">
        <f>34530/26</f>
        <v>1328.076923076923</v>
      </c>
      <c r="Z102" s="7">
        <f>184377/83</f>
        <v>2221.409638554217</v>
      </c>
      <c r="AB102" s="3" t="s">
        <v>10</v>
      </c>
      <c r="AC102" s="4">
        <v>615</v>
      </c>
      <c r="AD102" s="4">
        <v>655</v>
      </c>
      <c r="AE102" s="4">
        <v>680</v>
      </c>
      <c r="AF102" s="4">
        <v>709</v>
      </c>
      <c r="AG102" s="17">
        <v>761</v>
      </c>
      <c r="AH102" s="7">
        <f>34530/26</f>
        <v>1328.076923076923</v>
      </c>
      <c r="AI102" s="7">
        <f>184377/83</f>
        <v>2221.409638554217</v>
      </c>
      <c r="AK102" s="3" t="s">
        <v>10</v>
      </c>
      <c r="AL102" s="4">
        <v>433</v>
      </c>
      <c r="AM102" s="4">
        <v>472</v>
      </c>
      <c r="AN102" s="4">
        <v>538</v>
      </c>
      <c r="AO102" s="4">
        <v>513</v>
      </c>
      <c r="AP102" s="17">
        <v>548</v>
      </c>
      <c r="AQ102" s="7">
        <f>34530/26</f>
        <v>1328.076923076923</v>
      </c>
      <c r="AR102" s="7">
        <f>184377/83</f>
        <v>2221.409638554217</v>
      </c>
      <c r="AT102" s="3" t="s">
        <v>10</v>
      </c>
      <c r="AU102" s="4">
        <v>492</v>
      </c>
      <c r="AV102" s="4">
        <v>477</v>
      </c>
      <c r="AW102" s="4">
        <v>463</v>
      </c>
      <c r="AX102" s="4">
        <v>487</v>
      </c>
      <c r="AY102" s="17">
        <v>486</v>
      </c>
      <c r="AZ102" s="7">
        <f>34530/26</f>
        <v>1328.076923076923</v>
      </c>
      <c r="BA102" s="7">
        <f>184377/83</f>
        <v>2221.409638554217</v>
      </c>
      <c r="BC102" s="3" t="s">
        <v>10</v>
      </c>
      <c r="BD102" s="4">
        <v>1180</v>
      </c>
      <c r="BE102" s="4">
        <v>1465</v>
      </c>
      <c r="BF102" s="4">
        <v>1587</v>
      </c>
      <c r="BG102" s="4">
        <v>1924</v>
      </c>
      <c r="BH102" s="17">
        <v>2889</v>
      </c>
      <c r="BI102" s="7">
        <f>34530/26</f>
        <v>1328.076923076923</v>
      </c>
      <c r="BJ102" s="7">
        <f>184377/83</f>
        <v>2221.409638554217</v>
      </c>
      <c r="BL102" s="3" t="s">
        <v>10</v>
      </c>
      <c r="BM102" s="4"/>
      <c r="BN102" s="4"/>
      <c r="BO102" s="3"/>
      <c r="BP102" s="4">
        <v>30</v>
      </c>
      <c r="BQ102" s="17">
        <v>190</v>
      </c>
      <c r="BR102" s="7">
        <f>34530/26</f>
        <v>1328.076923076923</v>
      </c>
      <c r="BS102" s="7">
        <f>184377/83</f>
        <v>2221.409638554217</v>
      </c>
    </row>
    <row r="103" spans="1:71" ht="12.75">
      <c r="A103" s="2" t="s">
        <v>11</v>
      </c>
      <c r="B103" s="4">
        <v>27</v>
      </c>
      <c r="C103" s="4">
        <v>19</v>
      </c>
      <c r="D103" s="4">
        <v>12</v>
      </c>
      <c r="E103" s="4">
        <v>5</v>
      </c>
      <c r="F103" s="17">
        <v>6</v>
      </c>
      <c r="G103" s="7">
        <f>9160/26</f>
        <v>352.3076923076923</v>
      </c>
      <c r="H103" s="7">
        <f>37693/83</f>
        <v>454.13253012048193</v>
      </c>
      <c r="J103" s="3" t="s">
        <v>11</v>
      </c>
      <c r="K103" s="4">
        <v>34</v>
      </c>
      <c r="L103" s="4">
        <v>32</v>
      </c>
      <c r="M103" s="4">
        <v>30</v>
      </c>
      <c r="N103" s="4">
        <v>9</v>
      </c>
      <c r="O103" s="17"/>
      <c r="P103" s="7">
        <f>9160/26</f>
        <v>352.3076923076923</v>
      </c>
      <c r="Q103" s="7">
        <f>37693/83</f>
        <v>454.13253012048193</v>
      </c>
      <c r="S103" s="3" t="s">
        <v>11</v>
      </c>
      <c r="T103" s="4">
        <v>16</v>
      </c>
      <c r="U103" s="4">
        <v>13</v>
      </c>
      <c r="V103" s="4">
        <v>20</v>
      </c>
      <c r="W103" s="4">
        <v>9</v>
      </c>
      <c r="X103" s="17">
        <v>10</v>
      </c>
      <c r="Y103" s="7">
        <f>9160/26</f>
        <v>352.3076923076923</v>
      </c>
      <c r="Z103" s="7">
        <f>37693/83</f>
        <v>454.13253012048193</v>
      </c>
      <c r="AB103" s="3" t="s">
        <v>11</v>
      </c>
      <c r="AC103" s="4">
        <v>139</v>
      </c>
      <c r="AD103" s="4">
        <v>182</v>
      </c>
      <c r="AE103" s="4">
        <v>235</v>
      </c>
      <c r="AF103" s="4">
        <v>102</v>
      </c>
      <c r="AG103" s="17">
        <v>72</v>
      </c>
      <c r="AH103" s="7">
        <f>9160/26</f>
        <v>352.3076923076923</v>
      </c>
      <c r="AI103" s="7">
        <f>37693/83</f>
        <v>454.13253012048193</v>
      </c>
      <c r="AK103" s="3" t="s">
        <v>11</v>
      </c>
      <c r="AL103" s="4">
        <v>62</v>
      </c>
      <c r="AM103" s="4">
        <v>59</v>
      </c>
      <c r="AN103" s="4">
        <v>68</v>
      </c>
      <c r="AO103" s="4">
        <v>68</v>
      </c>
      <c r="AP103" s="17">
        <v>83</v>
      </c>
      <c r="AQ103" s="7">
        <f>9160/26</f>
        <v>352.3076923076923</v>
      </c>
      <c r="AR103" s="7">
        <f>37693/83</f>
        <v>454.13253012048193</v>
      </c>
      <c r="AT103" s="3" t="s">
        <v>11</v>
      </c>
      <c r="AU103" s="4">
        <v>153</v>
      </c>
      <c r="AV103" s="4">
        <v>145</v>
      </c>
      <c r="AW103" s="4">
        <v>133</v>
      </c>
      <c r="AX103" s="4">
        <v>66</v>
      </c>
      <c r="AY103" s="17">
        <v>56</v>
      </c>
      <c r="AZ103" s="7">
        <f>9160/26</f>
        <v>352.3076923076923</v>
      </c>
      <c r="BA103" s="7">
        <f>37693/83</f>
        <v>454.13253012048193</v>
      </c>
      <c r="BC103" s="3" t="s">
        <v>11</v>
      </c>
      <c r="BD103" s="4">
        <v>416</v>
      </c>
      <c r="BE103" s="4">
        <v>410</v>
      </c>
      <c r="BF103" s="4">
        <v>540</v>
      </c>
      <c r="BG103" s="4">
        <v>416</v>
      </c>
      <c r="BH103" s="17">
        <v>730</v>
      </c>
      <c r="BI103" s="7">
        <f>9160/26</f>
        <v>352.3076923076923</v>
      </c>
      <c r="BJ103" s="7">
        <f>37693/83</f>
        <v>454.13253012048193</v>
      </c>
      <c r="BL103" s="3" t="s">
        <v>11</v>
      </c>
      <c r="BM103" s="4"/>
      <c r="BN103" s="4"/>
      <c r="BO103" s="3"/>
      <c r="BP103" s="4">
        <v>18</v>
      </c>
      <c r="BQ103" s="17">
        <v>100</v>
      </c>
      <c r="BR103" s="7">
        <f>9160/26</f>
        <v>352.3076923076923</v>
      </c>
      <c r="BS103" s="7">
        <f>37693/83</f>
        <v>454.13253012048193</v>
      </c>
    </row>
    <row r="104" spans="1:71" ht="12.75">
      <c r="A104" s="2" t="s">
        <v>12</v>
      </c>
      <c r="B104" s="4">
        <v>44</v>
      </c>
      <c r="C104" s="4">
        <v>45</v>
      </c>
      <c r="D104" s="4">
        <v>43</v>
      </c>
      <c r="E104" s="4">
        <v>39</v>
      </c>
      <c r="F104" s="17">
        <v>40</v>
      </c>
      <c r="G104" s="7">
        <f>21416/26</f>
        <v>823.6923076923077</v>
      </c>
      <c r="H104" s="7">
        <f>106836/83</f>
        <v>1287.1807228915663</v>
      </c>
      <c r="J104" s="3" t="s">
        <v>12</v>
      </c>
      <c r="K104" s="4">
        <v>97</v>
      </c>
      <c r="L104" s="4">
        <v>99</v>
      </c>
      <c r="M104" s="4">
        <v>82</v>
      </c>
      <c r="N104" s="4">
        <v>86</v>
      </c>
      <c r="O104" s="17"/>
      <c r="P104" s="7">
        <f>21416/26</f>
        <v>823.6923076923077</v>
      </c>
      <c r="Q104" s="7">
        <f>106836/83</f>
        <v>1287.1807228915663</v>
      </c>
      <c r="S104" s="3" t="s">
        <v>12</v>
      </c>
      <c r="T104" s="4">
        <v>51</v>
      </c>
      <c r="U104" s="4">
        <v>36</v>
      </c>
      <c r="V104" s="4">
        <v>26</v>
      </c>
      <c r="W104" s="4">
        <v>17</v>
      </c>
      <c r="X104" s="17">
        <v>19</v>
      </c>
      <c r="Y104" s="7">
        <f>21416/26</f>
        <v>823.6923076923077</v>
      </c>
      <c r="Z104" s="7">
        <f>106836/83</f>
        <v>1287.1807228915663</v>
      </c>
      <c r="AB104" s="3" t="s">
        <v>12</v>
      </c>
      <c r="AC104" s="4">
        <v>460</v>
      </c>
      <c r="AD104" s="4">
        <v>479</v>
      </c>
      <c r="AE104" s="4">
        <v>480</v>
      </c>
      <c r="AF104" s="4">
        <v>452</v>
      </c>
      <c r="AG104" s="17">
        <v>451</v>
      </c>
      <c r="AH104" s="7">
        <f>21416/26</f>
        <v>823.6923076923077</v>
      </c>
      <c r="AI104" s="7">
        <f>106836/83</f>
        <v>1287.1807228915663</v>
      </c>
      <c r="AK104" s="3" t="s">
        <v>12</v>
      </c>
      <c r="AL104" s="4">
        <v>289</v>
      </c>
      <c r="AM104" s="4">
        <v>302</v>
      </c>
      <c r="AN104" s="4">
        <v>322</v>
      </c>
      <c r="AO104" s="4">
        <v>282</v>
      </c>
      <c r="AP104" s="17">
        <v>302</v>
      </c>
      <c r="AQ104" s="7">
        <f>21416/26</f>
        <v>823.6923076923077</v>
      </c>
      <c r="AR104" s="7">
        <f>106836/83</f>
        <v>1287.1807228915663</v>
      </c>
      <c r="AT104" s="3" t="s">
        <v>12</v>
      </c>
      <c r="AU104" s="4">
        <v>391</v>
      </c>
      <c r="AV104" s="4">
        <v>358</v>
      </c>
      <c r="AW104" s="4">
        <v>341</v>
      </c>
      <c r="AX104" s="4">
        <v>340</v>
      </c>
      <c r="AY104" s="17">
        <v>321</v>
      </c>
      <c r="AZ104" s="7">
        <f>21416/26</f>
        <v>823.6923076923077</v>
      </c>
      <c r="BA104" s="7">
        <f>106836/83</f>
        <v>1287.1807228915663</v>
      </c>
      <c r="BC104" s="3" t="s">
        <v>12</v>
      </c>
      <c r="BD104" s="4">
        <v>980</v>
      </c>
      <c r="BE104" s="4">
        <v>1142</v>
      </c>
      <c r="BF104" s="4">
        <v>1021</v>
      </c>
      <c r="BG104" s="4">
        <v>1193</v>
      </c>
      <c r="BH104" s="17">
        <v>1811</v>
      </c>
      <c r="BI104" s="7">
        <f>21416/26</f>
        <v>823.6923076923077</v>
      </c>
      <c r="BJ104" s="7">
        <f>106836/83</f>
        <v>1287.1807228915663</v>
      </c>
      <c r="BL104" s="3" t="s">
        <v>12</v>
      </c>
      <c r="BM104" s="4"/>
      <c r="BN104" s="4"/>
      <c r="BO104" s="3"/>
      <c r="BP104" s="4">
        <v>12</v>
      </c>
      <c r="BQ104" s="17">
        <v>105</v>
      </c>
      <c r="BR104" s="7">
        <f>21416/26</f>
        <v>823.6923076923077</v>
      </c>
      <c r="BS104" s="7">
        <f>106836/83</f>
        <v>1287.1807228915663</v>
      </c>
    </row>
    <row r="105" spans="1:71" ht="12.75">
      <c r="A105" s="2" t="s">
        <v>13</v>
      </c>
      <c r="B105" s="4">
        <v>21</v>
      </c>
      <c r="C105" s="4">
        <v>19</v>
      </c>
      <c r="D105" s="4">
        <v>20</v>
      </c>
      <c r="E105" s="4">
        <v>22</v>
      </c>
      <c r="F105" s="17">
        <v>23</v>
      </c>
      <c r="G105" s="7">
        <f>11513/26</f>
        <v>442.8076923076923</v>
      </c>
      <c r="H105" s="7">
        <f>58664/83</f>
        <v>706.7951807228916</v>
      </c>
      <c r="J105" s="3" t="s">
        <v>13</v>
      </c>
      <c r="K105" s="4">
        <v>50</v>
      </c>
      <c r="L105" s="4">
        <v>51</v>
      </c>
      <c r="M105" s="4">
        <v>55</v>
      </c>
      <c r="N105" s="4">
        <v>54</v>
      </c>
      <c r="O105" s="17"/>
      <c r="P105" s="7">
        <f>11513/26</f>
        <v>442.8076923076923</v>
      </c>
      <c r="Q105" s="7">
        <f>58664/83</f>
        <v>706.7951807228916</v>
      </c>
      <c r="S105" s="3" t="s">
        <v>13</v>
      </c>
      <c r="T105" s="4">
        <v>8</v>
      </c>
      <c r="U105" s="4">
        <v>9</v>
      </c>
      <c r="V105" s="4">
        <v>8</v>
      </c>
      <c r="W105" s="4">
        <v>8</v>
      </c>
      <c r="X105" s="17">
        <v>8</v>
      </c>
      <c r="Y105" s="7">
        <f>11513/26</f>
        <v>442.8076923076923</v>
      </c>
      <c r="Z105" s="7">
        <f>58664/83</f>
        <v>706.7951807228916</v>
      </c>
      <c r="AB105" s="3" t="s">
        <v>13</v>
      </c>
      <c r="AC105" s="4">
        <v>121</v>
      </c>
      <c r="AD105" s="4">
        <v>142</v>
      </c>
      <c r="AE105" s="4">
        <v>193</v>
      </c>
      <c r="AF105" s="4">
        <v>187</v>
      </c>
      <c r="AG105" s="17">
        <v>226</v>
      </c>
      <c r="AH105" s="7">
        <f>11513/26</f>
        <v>442.8076923076923</v>
      </c>
      <c r="AI105" s="7">
        <f>58664/83</f>
        <v>706.7951807228916</v>
      </c>
      <c r="AK105" s="3" t="s">
        <v>13</v>
      </c>
      <c r="AL105" s="4">
        <v>85</v>
      </c>
      <c r="AM105" s="4">
        <v>93</v>
      </c>
      <c r="AN105" s="4">
        <v>114</v>
      </c>
      <c r="AO105" s="4">
        <v>125</v>
      </c>
      <c r="AP105" s="17">
        <v>130</v>
      </c>
      <c r="AQ105" s="7">
        <f>11513/26</f>
        <v>442.8076923076923</v>
      </c>
      <c r="AR105" s="7">
        <f>58664/83</f>
        <v>706.7951807228916</v>
      </c>
      <c r="AT105" s="3" t="s">
        <v>13</v>
      </c>
      <c r="AU105" s="4">
        <v>100</v>
      </c>
      <c r="AV105" s="4">
        <v>126</v>
      </c>
      <c r="AW105" s="4">
        <v>122</v>
      </c>
      <c r="AX105" s="4">
        <v>140</v>
      </c>
      <c r="AY105" s="17">
        <v>181</v>
      </c>
      <c r="AZ105" s="7">
        <f>11513/26</f>
        <v>442.8076923076923</v>
      </c>
      <c r="BA105" s="7">
        <f>58664/83</f>
        <v>706.7951807228916</v>
      </c>
      <c r="BC105" s="3" t="s">
        <v>13</v>
      </c>
      <c r="BD105" s="4">
        <v>205</v>
      </c>
      <c r="BE105" s="4">
        <v>323</v>
      </c>
      <c r="BF105" s="4">
        <v>419</v>
      </c>
      <c r="BG105" s="4">
        <v>581</v>
      </c>
      <c r="BH105" s="17">
        <v>814</v>
      </c>
      <c r="BI105" s="7">
        <f>11513/26</f>
        <v>442.8076923076923</v>
      </c>
      <c r="BJ105" s="7">
        <f>58664/83</f>
        <v>706.7951807228916</v>
      </c>
      <c r="BL105" s="3" t="s">
        <v>13</v>
      </c>
      <c r="BM105" s="4"/>
      <c r="BN105" s="4"/>
      <c r="BO105" s="4"/>
      <c r="BP105" s="4">
        <v>40</v>
      </c>
      <c r="BQ105" s="17">
        <v>86</v>
      </c>
      <c r="BR105" s="7">
        <f>11513/26</f>
        <v>442.8076923076923</v>
      </c>
      <c r="BS105" s="7">
        <f>58664/83</f>
        <v>706.7951807228916</v>
      </c>
    </row>
    <row r="106" spans="1:71" ht="12.75">
      <c r="A106" s="2"/>
      <c r="B106" s="3"/>
      <c r="C106" s="3"/>
      <c r="D106" s="3"/>
      <c r="E106" s="4"/>
      <c r="F106" s="17"/>
      <c r="G106" s="3"/>
      <c r="J106" s="3"/>
      <c r="K106" s="3"/>
      <c r="L106" s="3"/>
      <c r="M106" s="3"/>
      <c r="N106" s="4"/>
      <c r="O106" s="17"/>
      <c r="P106" s="3"/>
      <c r="Q106" s="3"/>
      <c r="S106" s="3"/>
      <c r="T106" s="3"/>
      <c r="U106" s="3"/>
      <c r="V106" s="3"/>
      <c r="W106" s="4"/>
      <c r="X106" s="17"/>
      <c r="Y106" s="3"/>
      <c r="Z106" s="3"/>
      <c r="AB106" s="3"/>
      <c r="AC106" s="3"/>
      <c r="AD106" s="3"/>
      <c r="AE106" s="3"/>
      <c r="AF106" s="4"/>
      <c r="AG106" s="17"/>
      <c r="AH106" s="3"/>
      <c r="AI106" s="3"/>
      <c r="AK106" s="3"/>
      <c r="AL106" s="3"/>
      <c r="AM106" s="3"/>
      <c r="AN106" s="3"/>
      <c r="AO106" s="4"/>
      <c r="AP106" s="17"/>
      <c r="AQ106" s="3"/>
      <c r="AR106" s="3"/>
      <c r="AT106" s="3"/>
      <c r="AU106" s="3"/>
      <c r="AV106" s="3"/>
      <c r="AW106" s="3"/>
      <c r="AX106" s="4"/>
      <c r="AY106" s="17"/>
      <c r="AZ106" s="3"/>
      <c r="BA106" s="3"/>
      <c r="BC106" s="3"/>
      <c r="BD106" s="3"/>
      <c r="BE106" s="3"/>
      <c r="BF106" s="3"/>
      <c r="BG106" s="4"/>
      <c r="BH106" s="17"/>
      <c r="BI106" s="3"/>
      <c r="BJ106" s="3"/>
      <c r="BL106" s="3"/>
      <c r="BM106" s="3"/>
      <c r="BO106" s="3"/>
      <c r="BP106" s="4"/>
      <c r="BQ106" s="17"/>
      <c r="BR106" s="3"/>
      <c r="BS106" s="3"/>
    </row>
    <row r="107" spans="1:71" ht="12.75">
      <c r="A107" s="48" t="s">
        <v>14</v>
      </c>
      <c r="B107" s="5">
        <v>7.76</v>
      </c>
      <c r="C107" s="5">
        <v>7.2</v>
      </c>
      <c r="D107" s="5">
        <v>6.29</v>
      </c>
      <c r="E107" s="5">
        <v>5.16</v>
      </c>
      <c r="F107" s="18">
        <v>4.8</v>
      </c>
      <c r="G107" s="5">
        <v>4.31</v>
      </c>
      <c r="H107" s="5">
        <v>4.35</v>
      </c>
      <c r="I107" s="6"/>
      <c r="J107" s="6" t="s">
        <v>14</v>
      </c>
      <c r="K107" s="5">
        <v>6.17</v>
      </c>
      <c r="L107" s="5">
        <v>6.01</v>
      </c>
      <c r="M107" s="5">
        <v>4.65</v>
      </c>
      <c r="N107" s="5">
        <v>4.49</v>
      </c>
      <c r="O107" s="18"/>
      <c r="P107" s="5">
        <v>4.31</v>
      </c>
      <c r="Q107" s="5">
        <v>4.35</v>
      </c>
      <c r="R107" s="6"/>
      <c r="S107" s="6" t="s">
        <v>14</v>
      </c>
      <c r="T107" s="5">
        <v>8.92</v>
      </c>
      <c r="U107" s="5">
        <v>6.58</v>
      </c>
      <c r="V107" s="5">
        <v>5.94</v>
      </c>
      <c r="W107" s="5">
        <v>4.33</v>
      </c>
      <c r="X107" s="18">
        <v>4.77</v>
      </c>
      <c r="Y107" s="5">
        <v>4.31</v>
      </c>
      <c r="Z107" s="5">
        <v>4.35</v>
      </c>
      <c r="AA107" s="6"/>
      <c r="AB107" s="6" t="s">
        <v>14</v>
      </c>
      <c r="AC107" s="5">
        <v>8.43</v>
      </c>
      <c r="AD107" s="5">
        <v>7.25</v>
      </c>
      <c r="AE107" s="5">
        <v>6.08</v>
      </c>
      <c r="AF107" s="5">
        <v>5.18</v>
      </c>
      <c r="AG107" s="18">
        <v>4.81</v>
      </c>
      <c r="AH107" s="5">
        <v>4.31</v>
      </c>
      <c r="AI107" s="5">
        <v>4.35</v>
      </c>
      <c r="AJ107" s="6"/>
      <c r="AK107" s="6" t="s">
        <v>14</v>
      </c>
      <c r="AL107" s="5">
        <v>8.01</v>
      </c>
      <c r="AM107" s="5">
        <v>7.53</v>
      </c>
      <c r="AN107" s="5">
        <v>6.53</v>
      </c>
      <c r="AO107" s="5">
        <v>5.72</v>
      </c>
      <c r="AP107" s="18">
        <v>5.72</v>
      </c>
      <c r="AQ107" s="5">
        <v>4.31</v>
      </c>
      <c r="AR107" s="5">
        <v>4.35</v>
      </c>
      <c r="AS107" s="6"/>
      <c r="AT107" s="6" t="s">
        <v>14</v>
      </c>
      <c r="AU107" s="5">
        <v>7.56</v>
      </c>
      <c r="AV107" s="5">
        <v>6.79</v>
      </c>
      <c r="AW107" s="5">
        <v>5.44</v>
      </c>
      <c r="AX107" s="5">
        <v>5.01</v>
      </c>
      <c r="AY107" s="18">
        <v>4.77</v>
      </c>
      <c r="AZ107" s="5">
        <v>4.31</v>
      </c>
      <c r="BA107" s="5">
        <v>4.35</v>
      </c>
      <c r="BB107" s="6"/>
      <c r="BC107" s="6" t="s">
        <v>14</v>
      </c>
      <c r="BD107" s="5">
        <v>7.65</v>
      </c>
      <c r="BE107" s="5">
        <v>6.94</v>
      </c>
      <c r="BF107" s="5">
        <v>4.87</v>
      </c>
      <c r="BG107" s="5">
        <v>3.94</v>
      </c>
      <c r="BH107" s="18">
        <v>4.23</v>
      </c>
      <c r="BI107" s="5">
        <v>4.31</v>
      </c>
      <c r="BJ107" s="5">
        <v>4.35</v>
      </c>
      <c r="BK107" s="6"/>
      <c r="BL107" s="6" t="s">
        <v>14</v>
      </c>
      <c r="BM107" s="5"/>
      <c r="BN107" s="5"/>
      <c r="BO107" s="6"/>
      <c r="BP107" s="5">
        <v>1.15</v>
      </c>
      <c r="BQ107" s="18">
        <v>4.72</v>
      </c>
      <c r="BR107" s="5">
        <v>4.31</v>
      </c>
      <c r="BS107" s="5">
        <v>4.35</v>
      </c>
    </row>
    <row r="108" spans="1:71" ht="12.75">
      <c r="A108" s="48" t="s">
        <v>18</v>
      </c>
      <c r="B108" s="5">
        <v>6.09</v>
      </c>
      <c r="C108" s="5">
        <v>5.86</v>
      </c>
      <c r="D108" s="6">
        <v>5.45</v>
      </c>
      <c r="E108" s="5">
        <v>5.09</v>
      </c>
      <c r="F108" s="18">
        <v>5.36</v>
      </c>
      <c r="G108" s="5">
        <v>4.21</v>
      </c>
      <c r="H108" s="5">
        <v>3.79</v>
      </c>
      <c r="I108" s="6"/>
      <c r="J108" s="6" t="s">
        <v>18</v>
      </c>
      <c r="K108" s="5">
        <v>4.08</v>
      </c>
      <c r="L108" s="5">
        <v>4.68</v>
      </c>
      <c r="M108" s="6">
        <v>3.54</v>
      </c>
      <c r="N108" s="5">
        <v>1.71</v>
      </c>
      <c r="O108" s="18"/>
      <c r="P108" s="5">
        <v>4.21</v>
      </c>
      <c r="Q108" s="5">
        <v>3.79</v>
      </c>
      <c r="R108" s="6"/>
      <c r="S108" s="6" t="s">
        <v>18</v>
      </c>
      <c r="T108" s="5">
        <v>1.61</v>
      </c>
      <c r="U108" s="5">
        <v>1.14</v>
      </c>
      <c r="V108" s="6">
        <v>5.79</v>
      </c>
      <c r="W108" s="5">
        <v>0.68</v>
      </c>
      <c r="X108" s="18">
        <v>2.25</v>
      </c>
      <c r="Y108" s="5">
        <v>4.21</v>
      </c>
      <c r="Z108" s="5">
        <v>3.79</v>
      </c>
      <c r="AA108" s="6"/>
      <c r="AB108" s="6" t="s">
        <v>18</v>
      </c>
      <c r="AC108" s="5">
        <v>4.2</v>
      </c>
      <c r="AD108" s="5">
        <v>3.64</v>
      </c>
      <c r="AE108" s="6">
        <v>3.09</v>
      </c>
      <c r="AF108" s="5">
        <v>3.97</v>
      </c>
      <c r="AG108" s="18">
        <v>4.55</v>
      </c>
      <c r="AH108" s="5">
        <v>4.21</v>
      </c>
      <c r="AI108" s="5">
        <v>3.79</v>
      </c>
      <c r="AJ108" s="6"/>
      <c r="AK108" s="6" t="s">
        <v>18</v>
      </c>
      <c r="AL108" s="5">
        <v>4.38</v>
      </c>
      <c r="AM108" s="5">
        <v>4.11</v>
      </c>
      <c r="AN108" s="6">
        <v>4.92</v>
      </c>
      <c r="AO108" s="5">
        <v>4.73</v>
      </c>
      <c r="AP108" s="18">
        <v>4.33</v>
      </c>
      <c r="AQ108" s="5">
        <v>4.21</v>
      </c>
      <c r="AR108" s="5">
        <v>3.79</v>
      </c>
      <c r="AS108" s="6"/>
      <c r="AT108" s="6" t="s">
        <v>18</v>
      </c>
      <c r="AU108" s="5">
        <v>3.11</v>
      </c>
      <c r="AV108" s="5">
        <v>3.04</v>
      </c>
      <c r="AW108" s="6">
        <v>2.42</v>
      </c>
      <c r="AX108" s="5">
        <v>2.84</v>
      </c>
      <c r="AY108" s="18">
        <v>2.95</v>
      </c>
      <c r="AZ108" s="5">
        <v>4.21</v>
      </c>
      <c r="BA108" s="5">
        <v>3.79</v>
      </c>
      <c r="BB108" s="6"/>
      <c r="BC108" s="6" t="s">
        <v>18</v>
      </c>
      <c r="BD108" s="5">
        <v>2.95</v>
      </c>
      <c r="BE108" s="5">
        <v>4.81</v>
      </c>
      <c r="BF108" s="6">
        <v>4.41</v>
      </c>
      <c r="BG108" s="5">
        <v>3.9</v>
      </c>
      <c r="BH108" s="18">
        <v>3.83</v>
      </c>
      <c r="BI108" s="5">
        <v>4.21</v>
      </c>
      <c r="BJ108" s="5">
        <v>3.79</v>
      </c>
      <c r="BK108" s="6"/>
      <c r="BL108" s="6" t="s">
        <v>18</v>
      </c>
      <c r="BM108" s="5"/>
      <c r="BN108" s="5"/>
      <c r="BO108" s="6"/>
      <c r="BP108" s="5">
        <v>1.89</v>
      </c>
      <c r="BQ108" s="18">
        <v>3.88</v>
      </c>
      <c r="BR108" s="5">
        <v>4.21</v>
      </c>
      <c r="BS108" s="5">
        <v>3.79</v>
      </c>
    </row>
    <row r="109" spans="1:71" ht="12.75">
      <c r="A109" s="48" t="s">
        <v>54</v>
      </c>
      <c r="B109" s="5">
        <v>21.06</v>
      </c>
      <c r="C109" s="5">
        <v>17.39</v>
      </c>
      <c r="D109" s="5">
        <v>19.46</v>
      </c>
      <c r="E109" s="5">
        <v>21.69</v>
      </c>
      <c r="F109" s="18">
        <v>22.82</v>
      </c>
      <c r="G109" s="5">
        <v>12.22</v>
      </c>
      <c r="H109" s="5">
        <v>20.17</v>
      </c>
      <c r="I109" s="6"/>
      <c r="J109" s="6" t="s">
        <v>54</v>
      </c>
      <c r="K109" s="5">
        <v>26.34</v>
      </c>
      <c r="L109" s="5">
        <v>25.95</v>
      </c>
      <c r="M109" s="5">
        <v>29.73</v>
      </c>
      <c r="N109" s="5">
        <v>29.36</v>
      </c>
      <c r="O109" s="18"/>
      <c r="P109" s="5">
        <v>12.22</v>
      </c>
      <c r="Q109" s="5">
        <v>20.17</v>
      </c>
      <c r="R109" s="6"/>
      <c r="S109" s="6" t="s">
        <v>54</v>
      </c>
      <c r="T109" s="5">
        <v>4.83</v>
      </c>
      <c r="U109" s="5">
        <v>7.01</v>
      </c>
      <c r="V109" s="5">
        <v>8.92</v>
      </c>
      <c r="W109" s="5">
        <v>12.77</v>
      </c>
      <c r="X109" s="18">
        <v>11.51</v>
      </c>
      <c r="Y109" s="5">
        <v>12.22</v>
      </c>
      <c r="Z109" s="5">
        <v>20.17</v>
      </c>
      <c r="AA109" s="6"/>
      <c r="AB109" s="6" t="s">
        <v>54</v>
      </c>
      <c r="AC109" s="5">
        <v>14.52</v>
      </c>
      <c r="AD109" s="5">
        <v>15.19</v>
      </c>
      <c r="AE109" s="5">
        <v>19.41</v>
      </c>
      <c r="AF109" s="5">
        <v>18.54</v>
      </c>
      <c r="AG109" s="18">
        <v>20.58</v>
      </c>
      <c r="AH109" s="5">
        <v>12.22</v>
      </c>
      <c r="AI109" s="5">
        <v>20.17</v>
      </c>
      <c r="AJ109" s="6"/>
      <c r="AK109" s="6" t="s">
        <v>54</v>
      </c>
      <c r="AL109" s="5">
        <v>13.55</v>
      </c>
      <c r="AM109" s="5">
        <v>14.03</v>
      </c>
      <c r="AN109" s="5">
        <v>14.82</v>
      </c>
      <c r="AO109" s="5">
        <v>17.96</v>
      </c>
      <c r="AP109" s="18">
        <v>17.31</v>
      </c>
      <c r="AQ109" s="5">
        <v>12.22</v>
      </c>
      <c r="AR109" s="5">
        <v>20.17</v>
      </c>
      <c r="AS109" s="6"/>
      <c r="AT109" s="6" t="s">
        <v>54</v>
      </c>
      <c r="AU109" s="5">
        <v>13.58</v>
      </c>
      <c r="AV109" s="5">
        <v>17.75</v>
      </c>
      <c r="AW109" s="5">
        <v>16.35</v>
      </c>
      <c r="AX109" s="5">
        <v>15.8</v>
      </c>
      <c r="AY109" s="18">
        <v>21.58</v>
      </c>
      <c r="AZ109" s="5">
        <v>12.22</v>
      </c>
      <c r="BA109" s="5">
        <v>20.17</v>
      </c>
      <c r="BB109" s="6"/>
      <c r="BC109" s="6" t="s">
        <v>54</v>
      </c>
      <c r="BD109" s="5">
        <v>4.18</v>
      </c>
      <c r="BE109" s="5">
        <v>5.82</v>
      </c>
      <c r="BF109" s="5">
        <v>8.42</v>
      </c>
      <c r="BG109" s="5">
        <v>9.97</v>
      </c>
      <c r="BH109" s="18">
        <v>9.15</v>
      </c>
      <c r="BI109" s="5">
        <v>12.22</v>
      </c>
      <c r="BJ109" s="5">
        <v>20.17</v>
      </c>
      <c r="BK109" s="6"/>
      <c r="BL109" s="6" t="s">
        <v>54</v>
      </c>
      <c r="BM109" s="5"/>
      <c r="BN109" s="5"/>
      <c r="BO109" s="6"/>
      <c r="BP109" s="5">
        <v>41.07</v>
      </c>
      <c r="BQ109" s="18">
        <v>26.27</v>
      </c>
      <c r="BR109" s="5">
        <v>12.22</v>
      </c>
      <c r="BS109" s="5">
        <v>20.17</v>
      </c>
    </row>
    <row r="110" spans="1:71" ht="12.75">
      <c r="A110" s="48"/>
      <c r="B110" s="6"/>
      <c r="C110" s="6"/>
      <c r="D110" s="6"/>
      <c r="E110" s="5"/>
      <c r="F110" s="18"/>
      <c r="G110" s="6"/>
      <c r="H110" s="6"/>
      <c r="I110" s="6"/>
      <c r="J110" s="6"/>
      <c r="K110" s="6"/>
      <c r="L110" s="6"/>
      <c r="M110" s="6"/>
      <c r="N110" s="5"/>
      <c r="O110" s="18"/>
      <c r="P110" s="6"/>
      <c r="Q110" s="6"/>
      <c r="R110" s="6"/>
      <c r="S110" s="6"/>
      <c r="T110" s="6"/>
      <c r="U110" s="6"/>
      <c r="V110" s="6"/>
      <c r="W110" s="5"/>
      <c r="X110" s="18"/>
      <c r="Y110" s="6"/>
      <c r="Z110" s="6"/>
      <c r="AA110" s="6"/>
      <c r="AB110" s="6"/>
      <c r="AC110" s="6"/>
      <c r="AD110" s="6"/>
      <c r="AE110" s="6"/>
      <c r="AF110" s="5"/>
      <c r="AG110" s="18"/>
      <c r="AH110" s="6"/>
      <c r="AI110" s="6"/>
      <c r="AJ110" s="6"/>
      <c r="AK110" s="6"/>
      <c r="AL110" s="6"/>
      <c r="AM110" s="6"/>
      <c r="AN110" s="6"/>
      <c r="AO110" s="5"/>
      <c r="AP110" s="18"/>
      <c r="AQ110" s="6"/>
      <c r="AR110" s="6"/>
      <c r="AS110" s="6"/>
      <c r="AT110" s="6"/>
      <c r="AU110" s="6"/>
      <c r="AV110" s="6"/>
      <c r="AW110" s="6"/>
      <c r="AX110" s="5"/>
      <c r="AY110" s="18"/>
      <c r="AZ110" s="6"/>
      <c r="BA110" s="6"/>
      <c r="BB110" s="6"/>
      <c r="BC110" s="6"/>
      <c r="BD110" s="6"/>
      <c r="BE110" s="6"/>
      <c r="BF110" s="6"/>
      <c r="BG110" s="5"/>
      <c r="BH110" s="18"/>
      <c r="BI110" s="6"/>
      <c r="BJ110" s="6"/>
      <c r="BK110" s="6"/>
      <c r="BL110" s="6"/>
      <c r="BM110" s="6"/>
      <c r="BN110" s="6"/>
      <c r="BO110" s="6"/>
      <c r="BP110" s="5"/>
      <c r="BQ110" s="18"/>
      <c r="BR110" s="6"/>
      <c r="BS110" s="6"/>
    </row>
    <row r="111" spans="1:71" ht="12.75">
      <c r="A111" s="48" t="s">
        <v>15</v>
      </c>
      <c r="B111" s="5">
        <v>1.16</v>
      </c>
      <c r="C111" s="5">
        <v>1.42</v>
      </c>
      <c r="D111" s="5">
        <v>1.12</v>
      </c>
      <c r="E111" s="5">
        <v>-1.17</v>
      </c>
      <c r="F111" s="18">
        <v>0.07</v>
      </c>
      <c r="G111" s="5">
        <v>1.08</v>
      </c>
      <c r="H111" s="5">
        <v>1</v>
      </c>
      <c r="I111" s="6"/>
      <c r="J111" s="6" t="s">
        <v>15</v>
      </c>
      <c r="K111" s="5">
        <v>0.6</v>
      </c>
      <c r="L111" s="5">
        <v>0.66</v>
      </c>
      <c r="M111" s="5">
        <v>0.64</v>
      </c>
      <c r="N111" s="5">
        <v>-1.52</v>
      </c>
      <c r="O111" s="18"/>
      <c r="P111" s="5">
        <v>1.08</v>
      </c>
      <c r="Q111" s="5">
        <v>1</v>
      </c>
      <c r="R111" s="6"/>
      <c r="S111" s="6" t="s">
        <v>15</v>
      </c>
      <c r="T111" s="5">
        <v>0.46</v>
      </c>
      <c r="U111" s="5">
        <v>-1.45</v>
      </c>
      <c r="V111" s="5">
        <v>3.67</v>
      </c>
      <c r="W111" s="5">
        <v>-2.1</v>
      </c>
      <c r="X111" s="18">
        <v>1.09</v>
      </c>
      <c r="Y111" s="5">
        <v>1.08</v>
      </c>
      <c r="Z111" s="5">
        <v>1</v>
      </c>
      <c r="AA111" s="6"/>
      <c r="AB111" s="6" t="s">
        <v>15</v>
      </c>
      <c r="AC111" s="5">
        <v>1.07</v>
      </c>
      <c r="AD111" s="5">
        <v>1.25</v>
      </c>
      <c r="AE111" s="5">
        <v>1</v>
      </c>
      <c r="AF111" s="5">
        <v>0.09</v>
      </c>
      <c r="AG111" s="18">
        <v>0.53</v>
      </c>
      <c r="AH111" s="5">
        <v>1.08</v>
      </c>
      <c r="AI111" s="5">
        <v>1</v>
      </c>
      <c r="AJ111" s="6"/>
      <c r="AK111" s="6" t="s">
        <v>15</v>
      </c>
      <c r="AL111" s="5">
        <v>1.29</v>
      </c>
      <c r="AM111" s="5">
        <v>1.35</v>
      </c>
      <c r="AN111" s="5">
        <v>1.59</v>
      </c>
      <c r="AO111" s="5">
        <v>1.52</v>
      </c>
      <c r="AP111" s="18">
        <v>1.67</v>
      </c>
      <c r="AQ111" s="5">
        <v>1.08</v>
      </c>
      <c r="AR111" s="5">
        <v>1</v>
      </c>
      <c r="AS111" s="6"/>
      <c r="AT111" s="6" t="s">
        <v>15</v>
      </c>
      <c r="AU111" s="5">
        <v>0.5</v>
      </c>
      <c r="AV111" s="5">
        <v>0.46</v>
      </c>
      <c r="AW111" s="5">
        <v>0.43</v>
      </c>
      <c r="AX111" s="5">
        <v>-1.42</v>
      </c>
      <c r="AY111" s="18">
        <v>-1.55</v>
      </c>
      <c r="AZ111" s="5">
        <v>1.08</v>
      </c>
      <c r="BA111" s="5">
        <v>1</v>
      </c>
      <c r="BB111" s="6"/>
      <c r="BC111" s="6" t="s">
        <v>15</v>
      </c>
      <c r="BD111" s="5">
        <v>1.13</v>
      </c>
      <c r="BE111" s="5">
        <v>1.17</v>
      </c>
      <c r="BF111" s="5">
        <v>1.42</v>
      </c>
      <c r="BG111" s="5">
        <v>1.21</v>
      </c>
      <c r="BH111" s="18">
        <v>1.18</v>
      </c>
      <c r="BI111" s="5">
        <v>1.08</v>
      </c>
      <c r="BJ111" s="5">
        <v>1</v>
      </c>
      <c r="BK111" s="6"/>
      <c r="BL111" s="6" t="s">
        <v>15</v>
      </c>
      <c r="BM111" s="5"/>
      <c r="BN111" s="5"/>
      <c r="BO111" s="5"/>
      <c r="BP111" s="5">
        <v>-0.29</v>
      </c>
      <c r="BQ111" s="18">
        <v>2.13</v>
      </c>
      <c r="BR111" s="5">
        <v>1.08</v>
      </c>
      <c r="BS111" s="5">
        <v>1</v>
      </c>
    </row>
    <row r="112" spans="1:71" ht="12.75">
      <c r="A112" s="48" t="s">
        <v>16</v>
      </c>
      <c r="B112" s="5">
        <v>13.6</v>
      </c>
      <c r="C112" s="5">
        <v>14.05</v>
      </c>
      <c r="D112" s="5">
        <v>16.65</v>
      </c>
      <c r="E112" s="5">
        <v>12.03</v>
      </c>
      <c r="F112" s="18">
        <v>10.69</v>
      </c>
      <c r="G112" s="5">
        <v>12.49</v>
      </c>
      <c r="H112" s="6">
        <v>12.24</v>
      </c>
      <c r="I112" s="6"/>
      <c r="J112" s="6" t="s">
        <v>16</v>
      </c>
      <c r="K112" s="5">
        <v>11.64</v>
      </c>
      <c r="L112" s="5">
        <v>14.94</v>
      </c>
      <c r="M112" s="5">
        <v>13.68</v>
      </c>
      <c r="N112" s="5">
        <v>9.3</v>
      </c>
      <c r="O112" s="18"/>
      <c r="P112" s="5">
        <v>12.49</v>
      </c>
      <c r="Q112" s="6">
        <v>12.24</v>
      </c>
      <c r="R112" s="6"/>
      <c r="S112" s="6" t="s">
        <v>16</v>
      </c>
      <c r="T112" s="5">
        <v>22.1</v>
      </c>
      <c r="U112" s="5">
        <v>21.19</v>
      </c>
      <c r="V112" s="5">
        <v>30.43</v>
      </c>
      <c r="W112" s="5">
        <v>23.56</v>
      </c>
      <c r="X112" s="18">
        <v>22.29</v>
      </c>
      <c r="Y112" s="5">
        <v>12.49</v>
      </c>
      <c r="Z112" s="6">
        <v>12.24</v>
      </c>
      <c r="AA112" s="6"/>
      <c r="AB112" s="6" t="s">
        <v>16</v>
      </c>
      <c r="AC112" s="5">
        <v>11.2</v>
      </c>
      <c r="AD112" s="5">
        <v>10.75</v>
      </c>
      <c r="AE112" s="5">
        <v>11.32</v>
      </c>
      <c r="AF112" s="5">
        <v>9.89</v>
      </c>
      <c r="AG112" s="18">
        <v>13.02</v>
      </c>
      <c r="AH112" s="5">
        <v>12.49</v>
      </c>
      <c r="AI112" s="6">
        <v>12.24</v>
      </c>
      <c r="AJ112" s="6"/>
      <c r="AK112" s="6" t="s">
        <v>16</v>
      </c>
      <c r="AL112" s="5">
        <v>18.02</v>
      </c>
      <c r="AM112" s="5">
        <v>18.54</v>
      </c>
      <c r="AN112" s="5">
        <v>21.07</v>
      </c>
      <c r="AO112" s="5">
        <v>19.74</v>
      </c>
      <c r="AP112" s="18">
        <v>18.33</v>
      </c>
      <c r="AQ112" s="5">
        <v>12.49</v>
      </c>
      <c r="AR112" s="6">
        <v>12.24</v>
      </c>
      <c r="AS112" s="6"/>
      <c r="AT112" s="6" t="s">
        <v>16</v>
      </c>
      <c r="AU112" s="5">
        <v>9.79</v>
      </c>
      <c r="AV112" s="5">
        <v>10.17</v>
      </c>
      <c r="AW112" s="5">
        <v>10.13</v>
      </c>
      <c r="AX112" s="5">
        <v>4.86</v>
      </c>
      <c r="AY112" s="18">
        <v>0.99</v>
      </c>
      <c r="AZ112" s="5">
        <v>12.49</v>
      </c>
      <c r="BA112" s="6">
        <v>12.24</v>
      </c>
      <c r="BB112" s="6"/>
      <c r="BC112" s="6" t="s">
        <v>16</v>
      </c>
      <c r="BD112" s="5">
        <v>10.65</v>
      </c>
      <c r="BE112" s="5">
        <v>10.9</v>
      </c>
      <c r="BF112" s="5">
        <v>11.21</v>
      </c>
      <c r="BG112" s="5">
        <v>12.66</v>
      </c>
      <c r="BH112" s="18">
        <v>11.08</v>
      </c>
      <c r="BI112" s="5">
        <v>12.49</v>
      </c>
      <c r="BJ112" s="6">
        <v>12.24</v>
      </c>
      <c r="BK112" s="6"/>
      <c r="BL112" s="6" t="s">
        <v>16</v>
      </c>
      <c r="BM112" s="5"/>
      <c r="BN112" s="5"/>
      <c r="BO112" s="5"/>
      <c r="BP112" s="5">
        <v>18.81</v>
      </c>
      <c r="BQ112" s="18">
        <v>16.43</v>
      </c>
      <c r="BR112" s="5">
        <v>12.49</v>
      </c>
      <c r="BS112" s="6">
        <v>12.24</v>
      </c>
    </row>
    <row r="113" spans="1:71" ht="12.75">
      <c r="A113" s="48" t="s">
        <v>17</v>
      </c>
      <c r="B113" s="6">
        <v>8.6</v>
      </c>
      <c r="C113" s="6">
        <v>7.42</v>
      </c>
      <c r="D113" s="6">
        <v>5.58</v>
      </c>
      <c r="E113" s="5">
        <v>5.54</v>
      </c>
      <c r="F113" s="18">
        <v>2.61</v>
      </c>
      <c r="G113" s="6">
        <v>1.04</v>
      </c>
      <c r="H113" s="5">
        <v>1.22</v>
      </c>
      <c r="I113" s="6"/>
      <c r="J113" s="6" t="s">
        <v>17</v>
      </c>
      <c r="K113" s="6">
        <v>5.97</v>
      </c>
      <c r="L113" s="6">
        <v>6.89</v>
      </c>
      <c r="M113" s="6">
        <v>6.56</v>
      </c>
      <c r="N113" s="5">
        <v>4.3</v>
      </c>
      <c r="O113" s="18"/>
      <c r="P113" s="6">
        <v>1.04</v>
      </c>
      <c r="Q113" s="5">
        <v>1.22</v>
      </c>
      <c r="R113" s="6"/>
      <c r="S113" s="6" t="s">
        <v>17</v>
      </c>
      <c r="T113" s="6">
        <v>23.43</v>
      </c>
      <c r="U113" s="6">
        <v>20.88</v>
      </c>
      <c r="V113" s="6">
        <v>18.31</v>
      </c>
      <c r="W113" s="5">
        <v>7.65</v>
      </c>
      <c r="X113" s="18">
        <v>3.82</v>
      </c>
      <c r="Y113" s="6">
        <v>1.04</v>
      </c>
      <c r="Z113" s="5">
        <v>1.22</v>
      </c>
      <c r="AA113" s="6"/>
      <c r="AB113" s="6" t="s">
        <v>17</v>
      </c>
      <c r="AC113" s="6">
        <v>6.64</v>
      </c>
      <c r="AD113" s="6">
        <v>5.98</v>
      </c>
      <c r="AE113" s="6">
        <v>4.55</v>
      </c>
      <c r="AF113" s="5">
        <v>3.81</v>
      </c>
      <c r="AG113" s="18">
        <v>1.86</v>
      </c>
      <c r="AH113" s="6">
        <v>1.04</v>
      </c>
      <c r="AI113" s="5">
        <v>1.22</v>
      </c>
      <c r="AJ113" s="6"/>
      <c r="AK113" s="6" t="s">
        <v>17</v>
      </c>
      <c r="AL113" s="6">
        <v>6.66</v>
      </c>
      <c r="AM113" s="6">
        <v>8.7</v>
      </c>
      <c r="AN113" s="6">
        <v>5</v>
      </c>
      <c r="AO113" s="5">
        <v>2.95</v>
      </c>
      <c r="AP113" s="18">
        <v>2.17</v>
      </c>
      <c r="AQ113" s="6">
        <v>1.04</v>
      </c>
      <c r="AR113" s="5">
        <v>1.22</v>
      </c>
      <c r="AS113" s="6"/>
      <c r="AT113" s="6" t="s">
        <v>17</v>
      </c>
      <c r="AU113" s="6">
        <v>10.72</v>
      </c>
      <c r="AV113" s="6">
        <v>9.5</v>
      </c>
      <c r="AW113" s="6">
        <v>8.95</v>
      </c>
      <c r="AX113" s="5">
        <v>5.83</v>
      </c>
      <c r="AY113" s="18">
        <v>5.66</v>
      </c>
      <c r="AZ113" s="6">
        <v>1.04</v>
      </c>
      <c r="BA113" s="5">
        <v>1.22</v>
      </c>
      <c r="BB113" s="6"/>
      <c r="BC113" s="6" t="s">
        <v>17</v>
      </c>
      <c r="BD113" s="6">
        <v>3.46</v>
      </c>
      <c r="BE113" s="6">
        <v>2.39</v>
      </c>
      <c r="BF113" s="6">
        <v>1.29</v>
      </c>
      <c r="BG113" s="5">
        <v>1.39</v>
      </c>
      <c r="BH113" s="18">
        <v>0.98</v>
      </c>
      <c r="BI113" s="6">
        <v>1.04</v>
      </c>
      <c r="BJ113" s="5">
        <v>1.22</v>
      </c>
      <c r="BK113" s="6"/>
      <c r="BL113" s="6" t="s">
        <v>17</v>
      </c>
      <c r="BM113" s="6"/>
      <c r="BN113" s="6"/>
      <c r="BO113" s="6"/>
      <c r="BP113" s="5">
        <v>0</v>
      </c>
      <c r="BQ113" s="18">
        <v>0</v>
      </c>
      <c r="BR113" s="6">
        <v>1.04</v>
      </c>
      <c r="BS113" s="5">
        <v>1.22</v>
      </c>
    </row>
    <row r="114" spans="1:71" ht="12.75">
      <c r="A114" s="3"/>
      <c r="B114" s="3"/>
      <c r="C114" s="3"/>
      <c r="D114" s="3"/>
      <c r="E114" s="3"/>
      <c r="F114" s="3"/>
      <c r="G114" s="3"/>
      <c r="J114" s="3"/>
      <c r="K114" s="3"/>
      <c r="L114" s="3"/>
      <c r="M114" s="3"/>
      <c r="N114" s="3"/>
      <c r="O114" s="3"/>
      <c r="P114" s="3"/>
      <c r="Q114" s="3"/>
      <c r="S114" s="3"/>
      <c r="T114" s="3"/>
      <c r="U114" s="3"/>
      <c r="V114" s="3"/>
      <c r="W114" s="3"/>
      <c r="X114" s="3"/>
      <c r="Y114" s="3"/>
      <c r="Z114" s="3"/>
      <c r="AB114" s="3"/>
      <c r="AC114" s="3"/>
      <c r="AD114" s="3"/>
      <c r="AE114" s="3"/>
      <c r="AF114" s="3"/>
      <c r="AG114" s="3"/>
      <c r="AH114" s="3"/>
      <c r="AI114" s="3"/>
      <c r="AK114" s="3"/>
      <c r="AL114" s="3"/>
      <c r="AM114" s="3"/>
      <c r="AN114" s="3"/>
      <c r="AO114" s="3"/>
      <c r="AP114" s="3"/>
      <c r="AQ114" s="3"/>
      <c r="AR114" s="3"/>
      <c r="AT114" s="3"/>
      <c r="AU114" s="3"/>
      <c r="AV114" s="3"/>
      <c r="AW114" s="3"/>
      <c r="AX114" s="3"/>
      <c r="AY114" s="3"/>
      <c r="AZ114" s="3"/>
      <c r="BA114" s="3"/>
      <c r="BC114" s="3"/>
      <c r="BD114" s="3"/>
      <c r="BE114" s="3"/>
      <c r="BF114" s="3"/>
      <c r="BG114" s="3"/>
      <c r="BH114" s="3"/>
      <c r="BI114" s="3"/>
      <c r="BJ114" s="3"/>
      <c r="BL114" s="3"/>
      <c r="BM114" s="3"/>
      <c r="BO114" s="3"/>
      <c r="BP114" s="3"/>
      <c r="BQ114" s="3"/>
      <c r="BR114" s="3"/>
      <c r="BS114" s="3"/>
    </row>
  </sheetData>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8"/>
  <sheetViews>
    <sheetView workbookViewId="0" topLeftCell="A1">
      <selection activeCell="A9" sqref="A9"/>
    </sheetView>
  </sheetViews>
  <sheetFormatPr defaultColWidth="9.140625" defaultRowHeight="12.75"/>
  <cols>
    <col min="1" max="1" width="162.7109375" style="0" bestFit="1" customWidth="1"/>
  </cols>
  <sheetData>
    <row r="1" ht="12.75">
      <c r="A1" t="s">
        <v>158</v>
      </c>
    </row>
    <row r="2" ht="12.75">
      <c r="A2" t="s">
        <v>162</v>
      </c>
    </row>
    <row r="4" ht="12.75">
      <c r="A4" t="s">
        <v>161</v>
      </c>
    </row>
    <row r="6" ht="12.75">
      <c r="A6" s="56" t="s">
        <v>159</v>
      </c>
    </row>
    <row r="7" ht="12.75">
      <c r="A7" s="56" t="s">
        <v>160</v>
      </c>
    </row>
    <row r="8" ht="12.75">
      <c r="A8" t="s">
        <v>165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dbs</dc:creator>
  <cp:keywords/>
  <dc:description/>
  <cp:lastModifiedBy>SIFY</cp:lastModifiedBy>
  <cp:lastPrinted>2006-08-07T09:00:53Z</cp:lastPrinted>
  <dcterms:created xsi:type="dcterms:W3CDTF">2005-12-02T04:52:39Z</dcterms:created>
  <dcterms:modified xsi:type="dcterms:W3CDTF">2006-09-20T09:38:50Z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743792907</vt:i4>
  </property>
  <property fmtid="{D5CDD505-2E9C-101B-9397-08002B2CF9AE}" pid="3" name="_EmailSubject">
    <vt:lpwstr>From Unnikrishnan, DESACS</vt:lpwstr>
  </property>
  <property fmtid="{D5CDD505-2E9C-101B-9397-08002B2CF9AE}" pid="4" name="_AuthorEmail">
    <vt:lpwstr>nkunnikrishnan@rbi.org.in</vt:lpwstr>
  </property>
  <property fmtid="{D5CDD505-2E9C-101B-9397-08002B2CF9AE}" pid="5" name="_AuthorEmailDisplayName">
    <vt:lpwstr>N K. Unnikrishnan</vt:lpwstr>
  </property>
</Properties>
</file>