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230" activeTab="0"/>
  </bookViews>
  <sheets>
    <sheet name="November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<sst xmlns="http://schemas.openxmlformats.org/spreadsheetml/2006/main" count="78" uniqueCount="69">
  <si>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ATM  &amp; Card Statistics - November, 13</t>
  </si>
  <si>
    <t>Bank Name</t>
  </si>
  <si>
    <t>ATMs</t>
  </si>
  <si>
    <t>POS</t>
  </si>
  <si>
    <t>Credit Cards</t>
  </si>
  <si>
    <t>Debit Cards</t>
  </si>
  <si>
    <t>Off-line</t>
  </si>
  <si>
    <t>On-site</t>
  </si>
  <si>
    <t>Off-site</t>
  </si>
  <si>
    <t>On-line</t>
  </si>
  <si>
    <t>No .of outstanding cards as at the end of the month</t>
  </si>
  <si>
    <t>No. of Transactions 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</si>
  <si>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</si>
  <si>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</si>
  <si>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</si>
  <si>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</si>
  <si>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</si>
  <si>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</si>
  <si>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</si>
  <si>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</si>
  <si>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</si>
  <si>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</si>
  <si>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</si>
  <si>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</si>
  <si>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</si>
  <si>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</si>
  <si>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</si>
  <si>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</si>
  <si>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</si>
  <si>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</si>
  <si>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</si>
  <si>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</si>
  <si>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</si>
  <si>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</si>
  <si>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</si>
  <si>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</si>
  <si>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</si>
  <si>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</si>
  <si>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Ltd.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</si>
  <si>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</si>
  <si>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</si>
  <si>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</si>
  <si>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</si>
  <si>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</si>
  <si>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</si>
  <si>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</si>
  <si>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</si>
  <si>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</si>
  <si>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</si>
  <si>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</si>
  <si>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</si>
  <si>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Development Credit Bank Ltd.</t>
  </si>
  <si>
    <t>HDFC  Bank Ltd.</t>
  </si>
  <si>
    <t>ICICI Bank Ltd.</t>
  </si>
  <si>
    <t>IndusInd Bank Ltd</t>
  </si>
  <si>
    <t>Kotak Mahindra Bank Ltd</t>
  </si>
  <si>
    <t>Axis Bank Ltd.</t>
  </si>
  <si>
    <t>Yes Bank Ltd.</t>
  </si>
  <si>
    <t>RBS (ABN AMRO)</t>
  </si>
  <si>
    <t>American Express Bkg. Corp.</t>
  </si>
  <si>
    <t xml:space="preserve">Barclays Bank </t>
  </si>
  <si>
    <t xml:space="preserve">Citibank </t>
  </si>
  <si>
    <t>Deutsche Bank</t>
  </si>
  <si>
    <t>DBS Ltd.</t>
  </si>
  <si>
    <t>HSBC</t>
  </si>
  <si>
    <t>Standard Chartered Bank</t>
  </si>
  <si>
    <t>Grand Total</t>
  </si>
  <si>
    <t>Amount of transactions (Rs Millions)</t>
  </si>
  <si>
    <t>Amount of transactions (Rs Milions)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</si>
</sst>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20"/>
      <name val="Calibri"/>
      <family val="2"/>
    </font>
    <font>
      <u val="single"/>
      <sz val="7.7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0" fillId="25" borderId="0" applyNumberFormat="0" applyBorder="0" applyAlignment="0" applyProtection="0"/>
    <xf numFmtId="0" fontId="25" fillId="26" borderId="0" applyNumberFormat="0" applyBorder="0" applyAlignment="0" applyProtection="0"/>
    <xf numFmtId="0" fontId="20" fillId="17" borderId="0" applyNumberFormat="0" applyBorder="0" applyAlignment="0" applyProtection="0"/>
    <xf numFmtId="0" fontId="25" fillId="27" borderId="0" applyNumberFormat="0" applyBorder="0" applyAlignment="0" applyProtection="0"/>
    <xf numFmtId="0" fontId="20" fillId="19" borderId="0" applyNumberFormat="0" applyBorder="0" applyAlignment="0" applyProtection="0"/>
    <xf numFmtId="0" fontId="25" fillId="28" borderId="0" applyNumberFormat="0" applyBorder="0" applyAlignment="0" applyProtection="0"/>
    <xf numFmtId="0" fontId="20" fillId="29" borderId="0" applyNumberFormat="0" applyBorder="0" applyAlignment="0" applyProtection="0"/>
    <xf numFmtId="0" fontId="25" fillId="30" borderId="0" applyNumberFormat="0" applyBorder="0" applyAlignment="0" applyProtection="0"/>
    <xf numFmtId="0" fontId="20" fillId="31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0" applyNumberFormat="0" applyBorder="0" applyAlignment="0" applyProtection="0"/>
    <xf numFmtId="0" fontId="25" fillId="34" borderId="0" applyNumberFormat="0" applyBorder="0" applyAlignment="0" applyProtection="0"/>
    <xf numFmtId="0" fontId="20" fillId="35" borderId="0" applyNumberFormat="0" applyBorder="0" applyAlignment="0" applyProtection="0"/>
    <xf numFmtId="0" fontId="25" fillId="36" borderId="0" applyNumberFormat="0" applyBorder="0" applyAlignment="0" applyProtection="0"/>
    <xf numFmtId="0" fontId="20" fillId="37" borderId="0" applyNumberFormat="0" applyBorder="0" applyAlignment="0" applyProtection="0"/>
    <xf numFmtId="0" fontId="25" fillId="38" borderId="0" applyNumberFormat="0" applyBorder="0" applyAlignment="0" applyProtection="0"/>
    <xf numFmtId="0" fontId="20" fillId="39" borderId="0" applyNumberFormat="0" applyBorder="0" applyAlignment="0" applyProtection="0"/>
    <xf numFmtId="0" fontId="25" fillId="40" borderId="0" applyNumberFormat="0" applyBorder="0" applyAlignment="0" applyProtection="0"/>
    <xf numFmtId="0" fontId="20" fillId="29" borderId="0" applyNumberFormat="0" applyBorder="0" applyAlignment="0" applyProtection="0"/>
    <xf numFmtId="0" fontId="25" fillId="41" borderId="0" applyNumberFormat="0" applyBorder="0" applyAlignment="0" applyProtection="0"/>
    <xf numFmtId="0" fontId="20" fillId="31" borderId="0" applyNumberFormat="0" applyBorder="0" applyAlignment="0" applyProtection="0"/>
    <xf numFmtId="0" fontId="25" fillId="42" borderId="0" applyNumberFormat="0" applyBorder="0" applyAlignment="0" applyProtection="0"/>
    <xf numFmtId="0" fontId="20" fillId="43" borderId="0" applyNumberFormat="0" applyBorder="0" applyAlignment="0" applyProtection="0"/>
    <xf numFmtId="0" fontId="26" fillId="44" borderId="0" applyNumberFormat="0" applyBorder="0" applyAlignment="0" applyProtection="0"/>
    <xf numFmtId="0" fontId="10" fillId="5" borderId="0" applyNumberFormat="0" applyBorder="0" applyAlignment="0" applyProtection="0"/>
    <xf numFmtId="0" fontId="27" fillId="45" borderId="1" applyNumberFormat="0" applyAlignment="0" applyProtection="0"/>
    <xf numFmtId="0" fontId="14" fillId="46" borderId="2" applyNumberFormat="0" applyAlignment="0" applyProtection="0"/>
    <xf numFmtId="0" fontId="28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7" fillId="0" borderId="8" applyNumberFormat="0" applyFill="0" applyAlignment="0" applyProtection="0"/>
    <xf numFmtId="0" fontId="34" fillId="0" borderId="9" applyNumberFormat="0" applyFill="0" applyAlignment="0" applyProtection="0"/>
    <xf numFmtId="0" fontId="8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5" fillId="0" borderId="12" applyNumberFormat="0" applyFill="0" applyAlignment="0" applyProtection="0"/>
    <xf numFmtId="0" fontId="38" fillId="51" borderId="0" applyNumberFormat="0" applyBorder="0" applyAlignment="0" applyProtection="0"/>
    <xf numFmtId="0" fontId="1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2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0" fillId="45" borderId="15" applyNumberFormat="0" applyAlignment="0" applyProtection="0"/>
    <xf numFmtId="0" fontId="1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0" fillId="55" borderId="0" xfId="0" applyFill="1" applyBorder="1" applyAlignment="1">
      <alignment/>
    </xf>
    <xf numFmtId="2" fontId="44" fillId="55" borderId="19" xfId="0" applyNumberFormat="1" applyFont="1" applyFill="1" applyBorder="1" applyAlignment="1">
      <alignment horizontal="center" vertical="center"/>
    </xf>
    <xf numFmtId="0" fontId="45" fillId="55" borderId="19" xfId="0" applyFont="1" applyFill="1" applyBorder="1" applyAlignment="1">
      <alignment/>
    </xf>
    <xf numFmtId="0" fontId="44" fillId="55" borderId="19" xfId="0" applyFont="1" applyFill="1" applyBorder="1" applyAlignment="1">
      <alignment/>
    </xf>
    <xf numFmtId="0" fontId="45" fillId="55" borderId="19" xfId="0" applyFont="1" applyFill="1" applyBorder="1" applyAlignment="1">
      <alignment horizontal="right"/>
    </xf>
    <xf numFmtId="2" fontId="45" fillId="55" borderId="19" xfId="0" applyNumberFormat="1" applyFont="1" applyFill="1" applyBorder="1" applyAlignment="1">
      <alignment horizontal="right"/>
    </xf>
    <xf numFmtId="0" fontId="45" fillId="55" borderId="19" xfId="0" applyFont="1" applyFill="1" applyBorder="1" applyAlignment="1">
      <alignment horizontal="left"/>
    </xf>
    <xf numFmtId="2" fontId="45" fillId="55" borderId="19" xfId="0" applyNumberFormat="1" applyFont="1" applyFill="1" applyBorder="1" applyAlignment="1">
      <alignment/>
    </xf>
    <xf numFmtId="0" fontId="2" fillId="55" borderId="19" xfId="0" applyFont="1" applyFill="1" applyBorder="1" applyAlignment="1">
      <alignment horizontal="left"/>
    </xf>
    <xf numFmtId="0" fontId="2" fillId="55" borderId="19" xfId="0" applyFont="1" applyFill="1" applyBorder="1" applyAlignment="1">
      <alignment horizontal="right"/>
    </xf>
    <xf numFmtId="0" fontId="44" fillId="55" borderId="19" xfId="0" applyFont="1" applyFill="1" applyBorder="1" applyAlignment="1">
      <alignment horizontal="left"/>
    </xf>
    <xf numFmtId="0" fontId="45" fillId="55" borderId="19" xfId="0" applyNumberFormat="1" applyFont="1" applyFill="1" applyBorder="1" applyAlignment="1">
      <alignment horizontal="right"/>
    </xf>
    <xf numFmtId="0" fontId="45" fillId="55" borderId="19" xfId="0" applyNumberFormat="1" applyFont="1" applyFill="1" applyBorder="1" applyAlignment="1">
      <alignment/>
    </xf>
    <xf numFmtId="2" fontId="1" fillId="55" borderId="19" xfId="0" applyNumberFormat="1" applyFont="1" applyFill="1" applyBorder="1" applyAlignment="1">
      <alignment/>
    </xf>
    <xf numFmtId="0" fontId="45" fillId="55" borderId="0" xfId="0" applyFont="1" applyFill="1" applyBorder="1" applyAlignment="1">
      <alignment/>
    </xf>
    <xf numFmtId="0" fontId="44" fillId="55" borderId="19" xfId="0" applyFont="1" applyFill="1" applyBorder="1" applyAlignment="1">
      <alignment horizontal="right"/>
    </xf>
    <xf numFmtId="2" fontId="44" fillId="55" borderId="19" xfId="0" applyNumberFormat="1" applyFont="1" applyFill="1" applyBorder="1" applyAlignment="1">
      <alignment/>
    </xf>
    <xf numFmtId="0" fontId="2" fillId="55" borderId="19" xfId="0" applyFont="1" applyFill="1" applyBorder="1" applyAlignment="1">
      <alignment/>
    </xf>
    <xf numFmtId="0" fontId="45" fillId="55" borderId="0" xfId="0" applyFont="1" applyFill="1" applyBorder="1" applyAlignment="1">
      <alignment horizontal="right"/>
    </xf>
    <xf numFmtId="0" fontId="45" fillId="55" borderId="0" xfId="0" applyNumberFormat="1" applyFont="1" applyFill="1" applyBorder="1" applyAlignment="1">
      <alignment/>
    </xf>
    <xf numFmtId="0" fontId="0" fillId="55" borderId="19" xfId="0" applyFill="1" applyBorder="1" applyAlignment="1">
      <alignment/>
    </xf>
    <xf numFmtId="2" fontId="0" fillId="55" borderId="19" xfId="0" applyNumberFormat="1" applyFill="1" applyBorder="1" applyAlignment="1">
      <alignment/>
    </xf>
    <xf numFmtId="172" fontId="0" fillId="55" borderId="19" xfId="0" applyNumberFormat="1" applyFill="1" applyBorder="1" applyAlignment="1">
      <alignment/>
    </xf>
    <xf numFmtId="0" fontId="44" fillId="55" borderId="19" xfId="0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horizontal="center" vertical="center" wrapText="1"/>
    </xf>
    <xf numFmtId="2" fontId="44" fillId="55" borderId="19" xfId="0" applyNumberFormat="1" applyFont="1" applyFill="1" applyBorder="1" applyAlignment="1">
      <alignment horizontal="center" vertical="center" wrapText="1"/>
    </xf>
    <xf numFmtId="2" fontId="45" fillId="55" borderId="19" xfId="0" applyNumberFormat="1" applyFont="1" applyFill="1" applyBorder="1" applyAlignment="1">
      <alignment horizontal="center" vertical="center" wrapText="1"/>
    </xf>
    <xf numFmtId="0" fontId="44" fillId="55" borderId="19" xfId="0" applyFont="1" applyFill="1" applyBorder="1" applyAlignment="1">
      <alignment horizontal="center" vertical="center"/>
    </xf>
    <xf numFmtId="0" fontId="44" fillId="55" borderId="19" xfId="0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/>
    </xf>
    <xf numFmtId="0" fontId="45" fillId="55" borderId="19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/>
    </xf>
    <xf numFmtId="0" fontId="0" fillId="55" borderId="19" xfId="0" applyFill="1" applyBorder="1" applyAlignment="1">
      <alignment horizontal="center"/>
    </xf>
  </cellXfs>
  <cellStyles count="1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2" xfId="71"/>
    <cellStyle name="Comma 16" xfId="72"/>
    <cellStyle name="Comma 2" xfId="73"/>
    <cellStyle name="Comma 28" xfId="74"/>
    <cellStyle name="Comma 3" xfId="75"/>
    <cellStyle name="Comma 32" xfId="76"/>
    <cellStyle name="Comma 33" xfId="77"/>
    <cellStyle name="Comma 38" xfId="78"/>
    <cellStyle name="Comma 4" xfId="79"/>
    <cellStyle name="Comma 5" xfId="80"/>
    <cellStyle name="Comma 6" xfId="81"/>
    <cellStyle name="Currency" xfId="82"/>
    <cellStyle name="Currency [0]" xfId="83"/>
    <cellStyle name="Excel Built-in Normal" xfId="84"/>
    <cellStyle name="Explanatory Text" xfId="85"/>
    <cellStyle name="Explanatory Text 2" xfId="86"/>
    <cellStyle name="Followed Hyperlink" xfId="87"/>
    <cellStyle name="Good" xfId="88"/>
    <cellStyle name="Good 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Hyperlink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10" xfId="105"/>
    <cellStyle name="Normal 108" xfId="106"/>
    <cellStyle name="Normal 109" xfId="107"/>
    <cellStyle name="Normal 11" xfId="108"/>
    <cellStyle name="Normal 111" xfId="109"/>
    <cellStyle name="Normal 112" xfId="110"/>
    <cellStyle name="Normal 115" xfId="111"/>
    <cellStyle name="Normal 117" xfId="112"/>
    <cellStyle name="Normal 119" xfId="113"/>
    <cellStyle name="Normal 12" xfId="114"/>
    <cellStyle name="Normal 120" xfId="115"/>
    <cellStyle name="Normal 124" xfId="116"/>
    <cellStyle name="Normal 125" xfId="117"/>
    <cellStyle name="Normal 13" xfId="118"/>
    <cellStyle name="Normal 132" xfId="119"/>
    <cellStyle name="Normal 145" xfId="120"/>
    <cellStyle name="Normal 153" xfId="121"/>
    <cellStyle name="Normal 154" xfId="122"/>
    <cellStyle name="Normal 155" xfId="123"/>
    <cellStyle name="Normal 156" xfId="124"/>
    <cellStyle name="Normal 157" xfId="125"/>
    <cellStyle name="Normal 159" xfId="126"/>
    <cellStyle name="Normal 160" xfId="127"/>
    <cellStyle name="Normal 161" xfId="128"/>
    <cellStyle name="Normal 162" xfId="129"/>
    <cellStyle name="Normal 163" xfId="130"/>
    <cellStyle name="Normal 164" xfId="131"/>
    <cellStyle name="Normal 165" xfId="132"/>
    <cellStyle name="Normal 170" xfId="133"/>
    <cellStyle name="Normal 173" xfId="134"/>
    <cellStyle name="Normal 2" xfId="135"/>
    <cellStyle name="Normal 2 10" xfId="136"/>
    <cellStyle name="Normal 2 2" xfId="137"/>
    <cellStyle name="Normal 2 3" xfId="138"/>
    <cellStyle name="Normal 2 4" xfId="139"/>
    <cellStyle name="Normal 2 5" xfId="140"/>
    <cellStyle name="Normal 21" xfId="141"/>
    <cellStyle name="Normal 3" xfId="142"/>
    <cellStyle name="Normal 3 2" xfId="143"/>
    <cellStyle name="Normal 3 3" xfId="144"/>
    <cellStyle name="Normal 3 5" xfId="145"/>
    <cellStyle name="Normal 4" xfId="146"/>
    <cellStyle name="Normal 4 2" xfId="147"/>
    <cellStyle name="Normal 5" xfId="148"/>
    <cellStyle name="Normal 5 2" xfId="149"/>
    <cellStyle name="Normal 53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86" xfId="157"/>
    <cellStyle name="Normal 88" xfId="158"/>
    <cellStyle name="Normal 9" xfId="159"/>
    <cellStyle name="Normal 9 2" xfId="160"/>
    <cellStyle name="Normal 95" xfId="161"/>
    <cellStyle name="Normal 96" xfId="162"/>
    <cellStyle name="Normal 98" xfId="163"/>
    <cellStyle name="Note" xfId="164"/>
    <cellStyle name="Note 2" xfId="165"/>
    <cellStyle name="Output" xfId="166"/>
    <cellStyle name="Output 2" xfId="167"/>
    <cellStyle name="Percent" xfId="168"/>
    <cellStyle name="Percent 2" xfId="169"/>
    <cellStyle name="Percent 3" xfId="170"/>
    <cellStyle name="Style 1 6" xfId="171"/>
    <cellStyle name="Title" xfId="172"/>
    <cellStyle name="Title 2" xfId="173"/>
    <cellStyle name="Total" xfId="174"/>
    <cellStyle name="Total 2" xfId="175"/>
    <cellStyle name="Warning Text" xfId="176"/>
    <cellStyle name="Warning Text 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85" zoomScaleNormal="85" zoomScalePageLayoutView="0" workbookViewId="0" topLeftCell="A1">
      <selection activeCell="A2" sqref="A2:A3"/>
    </sheetView>
  </sheetViews>
  <sheetFormatPr defaultColWidth="9.140625" defaultRowHeight="15"/>
  <cols>
    <col min="1" max="1" width="4.8515625" style="35" customWidth="1"/>
    <col min="2" max="2" width="28.421875" style="22" customWidth="1"/>
    <col min="3" max="3" width="6.7109375" style="22" customWidth="1"/>
    <col min="4" max="4" width="6.8515625" style="22" customWidth="1"/>
    <col min="5" max="5" width="7.28125" style="22" customWidth="1"/>
    <col min="6" max="6" width="6.8515625" style="22" customWidth="1"/>
    <col min="7" max="7" width="13.28125" style="22" customWidth="1"/>
    <col min="8" max="8" width="7.57421875" style="22" customWidth="1"/>
    <col min="9" max="9" width="9.28125" style="22" bestFit="1" customWidth="1"/>
    <col min="10" max="10" width="8.8515625" style="23" bestFit="1" customWidth="1"/>
    <col min="11" max="11" width="9.8515625" style="23" customWidth="1"/>
    <col min="12" max="12" width="12.00390625" style="22" customWidth="1"/>
    <col min="13" max="13" width="9.8515625" style="22" customWidth="1"/>
    <col min="14" max="14" width="9.57421875" style="22" customWidth="1"/>
    <col min="15" max="15" width="12.28125" style="23" bestFit="1" customWidth="1"/>
    <col min="16" max="16" width="9.140625" style="23" customWidth="1"/>
    <col min="17" max="18" width="9.140625" style="2" customWidth="1"/>
    <col min="19" max="16384" width="9.140625" style="1" customWidth="1"/>
  </cols>
  <sheetData>
    <row r="1" spans="1:16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75" customHeight="1">
      <c r="A2" s="29"/>
      <c r="B2" s="29" t="s">
        <v>1</v>
      </c>
      <c r="C2" s="30" t="s">
        <v>2</v>
      </c>
      <c r="D2" s="31"/>
      <c r="E2" s="30" t="s">
        <v>3</v>
      </c>
      <c r="F2" s="31"/>
      <c r="G2" s="29" t="s">
        <v>4</v>
      </c>
      <c r="H2" s="32"/>
      <c r="I2" s="32"/>
      <c r="J2" s="32"/>
      <c r="K2" s="32"/>
      <c r="L2" s="29" t="s">
        <v>5</v>
      </c>
      <c r="M2" s="32"/>
      <c r="N2" s="32"/>
      <c r="O2" s="32"/>
      <c r="P2" s="32"/>
    </row>
    <row r="3" spans="1:16" ht="70.5" customHeight="1">
      <c r="A3" s="29"/>
      <c r="B3" s="29"/>
      <c r="C3" s="26" t="s">
        <v>7</v>
      </c>
      <c r="D3" s="26" t="s">
        <v>8</v>
      </c>
      <c r="E3" s="26" t="s">
        <v>9</v>
      </c>
      <c r="F3" s="26" t="s">
        <v>6</v>
      </c>
      <c r="G3" s="26" t="s">
        <v>10</v>
      </c>
      <c r="H3" s="30" t="s">
        <v>11</v>
      </c>
      <c r="I3" s="31"/>
      <c r="J3" s="27" t="s">
        <v>67</v>
      </c>
      <c r="K3" s="28"/>
      <c r="L3" s="26" t="s">
        <v>10</v>
      </c>
      <c r="M3" s="30" t="s">
        <v>11</v>
      </c>
      <c r="N3" s="31"/>
      <c r="O3" s="27" t="s">
        <v>68</v>
      </c>
      <c r="P3" s="28"/>
    </row>
    <row r="4" spans="1:16" ht="15">
      <c r="A4" s="25"/>
      <c r="B4" s="25"/>
      <c r="C4" s="25"/>
      <c r="D4" s="25"/>
      <c r="E4" s="25"/>
      <c r="F4" s="25"/>
      <c r="G4" s="25"/>
      <c r="H4" s="25" t="s">
        <v>12</v>
      </c>
      <c r="I4" s="25" t="s">
        <v>3</v>
      </c>
      <c r="J4" s="3" t="s">
        <v>12</v>
      </c>
      <c r="K4" s="3" t="s">
        <v>3</v>
      </c>
      <c r="L4" s="25"/>
      <c r="M4" s="25" t="s">
        <v>12</v>
      </c>
      <c r="N4" s="25" t="s">
        <v>3</v>
      </c>
      <c r="O4" s="3" t="s">
        <v>12</v>
      </c>
      <c r="P4" s="3" t="s">
        <v>3</v>
      </c>
    </row>
    <row r="5" spans="1:16" ht="15">
      <c r="A5" s="33">
        <v>1</v>
      </c>
      <c r="B5" s="8" t="s">
        <v>13</v>
      </c>
      <c r="C5" s="6">
        <v>460</v>
      </c>
      <c r="D5" s="6">
        <v>332</v>
      </c>
      <c r="E5" s="6">
        <v>233</v>
      </c>
      <c r="F5" s="6">
        <v>0</v>
      </c>
      <c r="G5" s="6">
        <v>0</v>
      </c>
      <c r="H5" s="4">
        <v>0</v>
      </c>
      <c r="I5" s="4">
        <v>0</v>
      </c>
      <c r="J5" s="9">
        <v>0</v>
      </c>
      <c r="K5" s="9">
        <v>0</v>
      </c>
      <c r="L5" s="4">
        <v>2531314</v>
      </c>
      <c r="M5" s="4">
        <v>3237077</v>
      </c>
      <c r="N5" s="4">
        <v>117480</v>
      </c>
      <c r="O5" s="9">
        <f>930.16*10</f>
        <v>9301.6</v>
      </c>
      <c r="P5" s="9">
        <f>26.36*10</f>
        <v>263.6</v>
      </c>
    </row>
    <row r="6" spans="1:16" ht="15">
      <c r="A6" s="33">
        <v>2</v>
      </c>
      <c r="B6" s="8" t="s">
        <v>14</v>
      </c>
      <c r="C6" s="6">
        <v>858</v>
      </c>
      <c r="D6" s="6">
        <v>619</v>
      </c>
      <c r="E6" s="6">
        <v>2369</v>
      </c>
      <c r="F6" s="6">
        <v>0</v>
      </c>
      <c r="G6" s="6">
        <v>130597</v>
      </c>
      <c r="H6" s="4">
        <v>9445</v>
      </c>
      <c r="I6" s="4">
        <v>156001</v>
      </c>
      <c r="J6" s="9">
        <f>4.08*10</f>
        <v>40.8</v>
      </c>
      <c r="K6" s="9">
        <f>39.95*10</f>
        <v>399.5</v>
      </c>
      <c r="L6" s="4">
        <v>9249591</v>
      </c>
      <c r="M6" s="4">
        <v>10361335</v>
      </c>
      <c r="N6" s="4">
        <v>656622</v>
      </c>
      <c r="O6" s="9">
        <f>1898.85*10</f>
        <v>18988.5</v>
      </c>
      <c r="P6" s="9">
        <f>83.85*10</f>
        <v>838.5</v>
      </c>
    </row>
    <row r="7" spans="1:16" ht="15">
      <c r="A7" s="33">
        <v>3</v>
      </c>
      <c r="B7" s="10" t="s">
        <v>15</v>
      </c>
      <c r="C7" s="6">
        <v>3294</v>
      </c>
      <c r="D7" s="6">
        <v>1569</v>
      </c>
      <c r="E7" s="6">
        <v>7584</v>
      </c>
      <c r="F7" s="6">
        <v>0</v>
      </c>
      <c r="G7" s="6">
        <v>71063</v>
      </c>
      <c r="H7" s="4">
        <v>1323</v>
      </c>
      <c r="I7" s="4">
        <v>101873</v>
      </c>
      <c r="J7" s="9">
        <f>0.45*10</f>
        <v>4.5</v>
      </c>
      <c r="K7" s="9">
        <f>25.52*10</f>
        <v>255.2</v>
      </c>
      <c r="L7" s="4">
        <v>12465979</v>
      </c>
      <c r="M7" s="4">
        <v>10224683</v>
      </c>
      <c r="N7" s="4">
        <v>1161613</v>
      </c>
      <c r="O7" s="9">
        <f>4196.68*10</f>
        <v>41966.8</v>
      </c>
      <c r="P7" s="9">
        <f>153.41*10</f>
        <v>1534.1</v>
      </c>
    </row>
    <row r="8" spans="1:16" ht="15">
      <c r="A8" s="33">
        <v>4</v>
      </c>
      <c r="B8" s="8" t="s">
        <v>16</v>
      </c>
      <c r="C8" s="6">
        <v>1688</v>
      </c>
      <c r="D8" s="6">
        <v>1526</v>
      </c>
      <c r="E8" s="6">
        <v>2565</v>
      </c>
      <c r="F8" s="6">
        <v>499</v>
      </c>
      <c r="G8" s="6">
        <v>122841</v>
      </c>
      <c r="H8" s="4">
        <v>8364</v>
      </c>
      <c r="I8" s="4">
        <v>112022</v>
      </c>
      <c r="J8" s="9">
        <f>5.46*10</f>
        <v>54.6</v>
      </c>
      <c r="K8" s="9">
        <f>29.93*10</f>
        <v>299.3</v>
      </c>
      <c r="L8" s="4">
        <v>15833596</v>
      </c>
      <c r="M8" s="4">
        <v>13854347</v>
      </c>
      <c r="N8" s="4">
        <v>1306316</v>
      </c>
      <c r="O8" s="9">
        <f>3419.37*10</f>
        <v>34193.7</v>
      </c>
      <c r="P8" s="9">
        <f>154.77*10</f>
        <v>1547.7</v>
      </c>
    </row>
    <row r="9" spans="1:16" ht="15">
      <c r="A9" s="33">
        <v>5</v>
      </c>
      <c r="B9" s="8" t="s">
        <v>17</v>
      </c>
      <c r="C9" s="6">
        <v>641</v>
      </c>
      <c r="D9" s="6">
        <v>345</v>
      </c>
      <c r="E9" s="6">
        <v>23</v>
      </c>
      <c r="F9" s="6">
        <v>0</v>
      </c>
      <c r="G9" s="6">
        <v>23237</v>
      </c>
      <c r="H9" s="4">
        <v>237</v>
      </c>
      <c r="I9" s="4">
        <v>35356</v>
      </c>
      <c r="J9" s="9">
        <f>0.077129455*10</f>
        <v>0.77129455</v>
      </c>
      <c r="K9" s="9">
        <f>8.591738361*10</f>
        <v>85.91738361</v>
      </c>
      <c r="L9" s="4">
        <v>4085692</v>
      </c>
      <c r="M9" s="4">
        <v>3459188</v>
      </c>
      <c r="N9" s="4">
        <v>441502</v>
      </c>
      <c r="O9" s="9">
        <f>905.71894*10</f>
        <v>9057.1894</v>
      </c>
      <c r="P9" s="9">
        <f>57.782689591*10</f>
        <v>577.82689591</v>
      </c>
    </row>
    <row r="10" spans="1:16" ht="15">
      <c r="A10" s="33">
        <v>6</v>
      </c>
      <c r="B10" s="8" t="s">
        <v>18</v>
      </c>
      <c r="C10" s="6">
        <v>2326</v>
      </c>
      <c r="D10" s="6">
        <v>2039</v>
      </c>
      <c r="E10" s="6">
        <v>1021</v>
      </c>
      <c r="F10" s="6">
        <v>0</v>
      </c>
      <c r="G10" s="6">
        <v>63586</v>
      </c>
      <c r="H10" s="4">
        <v>10436</v>
      </c>
      <c r="I10" s="4">
        <v>63448</v>
      </c>
      <c r="J10" s="9">
        <f>4.95*10</f>
        <v>49.5</v>
      </c>
      <c r="K10" s="9">
        <f>17.74*10</f>
        <v>177.39999999999998</v>
      </c>
      <c r="L10" s="4">
        <v>12532498</v>
      </c>
      <c r="M10" s="4">
        <v>13097261</v>
      </c>
      <c r="N10" s="4">
        <v>794133</v>
      </c>
      <c r="O10" s="9">
        <f>3679.22*10</f>
        <v>36792.2</v>
      </c>
      <c r="P10" s="9">
        <f>131.91*10</f>
        <v>1319.1</v>
      </c>
    </row>
    <row r="11" spans="1:16" ht="15">
      <c r="A11" s="33">
        <v>7</v>
      </c>
      <c r="B11" s="8" t="s">
        <v>19</v>
      </c>
      <c r="C11" s="6">
        <v>1834</v>
      </c>
      <c r="D11" s="6">
        <v>1469</v>
      </c>
      <c r="E11" s="6">
        <v>1315</v>
      </c>
      <c r="F11" s="6">
        <v>0</v>
      </c>
      <c r="G11" s="6">
        <v>58921</v>
      </c>
      <c r="H11" s="4">
        <v>294</v>
      </c>
      <c r="I11" s="4">
        <v>56974</v>
      </c>
      <c r="J11" s="9">
        <f>0.11*10</f>
        <v>1.1</v>
      </c>
      <c r="K11" s="9">
        <f>27.94*10</f>
        <v>279.40000000000003</v>
      </c>
      <c r="L11" s="4">
        <v>6090916</v>
      </c>
      <c r="M11" s="4">
        <v>13437663</v>
      </c>
      <c r="N11" s="4">
        <v>276011</v>
      </c>
      <c r="O11" s="9">
        <f>4658.16*10</f>
        <v>46581.6</v>
      </c>
      <c r="P11" s="9">
        <f>60.61*10</f>
        <v>606.1</v>
      </c>
    </row>
    <row r="12" spans="1:16" ht="15">
      <c r="A12" s="33">
        <v>8</v>
      </c>
      <c r="B12" s="8" t="s">
        <v>20</v>
      </c>
      <c r="C12" s="6">
        <v>1109</v>
      </c>
      <c r="D12" s="6">
        <v>787</v>
      </c>
      <c r="E12" s="6">
        <v>14072</v>
      </c>
      <c r="F12" s="6">
        <v>0</v>
      </c>
      <c r="G12" s="6">
        <v>78960</v>
      </c>
      <c r="H12" s="4">
        <v>805</v>
      </c>
      <c r="I12" s="4">
        <v>62611</v>
      </c>
      <c r="J12" s="9">
        <f>0.36*10</f>
        <v>3.5999999999999996</v>
      </c>
      <c r="K12" s="9">
        <f>15.39*10</f>
        <v>153.9</v>
      </c>
      <c r="L12" s="4">
        <v>5584912</v>
      </c>
      <c r="M12" s="4">
        <v>3217672</v>
      </c>
      <c r="N12" s="4">
        <v>571901</v>
      </c>
      <c r="O12" s="9">
        <f>1145.61*10</f>
        <v>11456.099999999999</v>
      </c>
      <c r="P12" s="9">
        <f>89.43*10</f>
        <v>894.3000000000001</v>
      </c>
    </row>
    <row r="13" spans="1:16" ht="15">
      <c r="A13" s="33">
        <v>9</v>
      </c>
      <c r="B13" s="8" t="s">
        <v>21</v>
      </c>
      <c r="C13" s="6">
        <v>683</v>
      </c>
      <c r="D13" s="6">
        <v>122</v>
      </c>
      <c r="E13" s="6">
        <v>0</v>
      </c>
      <c r="F13" s="6">
        <v>0</v>
      </c>
      <c r="G13" s="6">
        <v>0</v>
      </c>
      <c r="H13" s="4">
        <v>0</v>
      </c>
      <c r="I13" s="4">
        <v>0</v>
      </c>
      <c r="J13" s="9">
        <v>0</v>
      </c>
      <c r="K13" s="9">
        <v>0</v>
      </c>
      <c r="L13" s="4">
        <v>2292322</v>
      </c>
      <c r="M13" s="4">
        <v>2392865</v>
      </c>
      <c r="N13" s="4">
        <v>183300</v>
      </c>
      <c r="O13" s="9">
        <f>835.1915531*10</f>
        <v>8351.915530999999</v>
      </c>
      <c r="P13" s="9">
        <f>25.0370222*10</f>
        <v>250.37022199999998</v>
      </c>
    </row>
    <row r="14" spans="1:16" ht="15">
      <c r="A14" s="33">
        <v>10</v>
      </c>
      <c r="B14" s="8" t="s">
        <v>22</v>
      </c>
      <c r="C14" s="6">
        <v>1244</v>
      </c>
      <c r="D14" s="6">
        <v>413</v>
      </c>
      <c r="E14" s="6">
        <v>0</v>
      </c>
      <c r="F14" s="6">
        <v>0</v>
      </c>
      <c r="G14" s="6">
        <v>59266</v>
      </c>
      <c r="H14" s="4">
        <v>2659</v>
      </c>
      <c r="I14" s="4">
        <v>76659</v>
      </c>
      <c r="J14" s="9">
        <f>1.04*10</f>
        <v>10.4</v>
      </c>
      <c r="K14" s="9">
        <f>18.95*10</f>
        <v>189.5</v>
      </c>
      <c r="L14" s="4">
        <v>10745126</v>
      </c>
      <c r="M14" s="4">
        <v>11684051</v>
      </c>
      <c r="N14" s="4">
        <v>758738</v>
      </c>
      <c r="O14" s="9">
        <f>2400.45*10</f>
        <v>24004.5</v>
      </c>
      <c r="P14" s="9">
        <f>79.16*10</f>
        <v>791.5999999999999</v>
      </c>
    </row>
    <row r="15" spans="1:16" ht="15">
      <c r="A15" s="33">
        <v>11</v>
      </c>
      <c r="B15" s="8" t="s">
        <v>23</v>
      </c>
      <c r="C15" s="6">
        <v>1452</v>
      </c>
      <c r="D15" s="6">
        <v>821</v>
      </c>
      <c r="E15" s="6">
        <v>471</v>
      </c>
      <c r="F15" s="6">
        <v>0</v>
      </c>
      <c r="G15" s="6">
        <v>46282</v>
      </c>
      <c r="H15" s="6">
        <v>2901</v>
      </c>
      <c r="I15" s="6">
        <v>26278</v>
      </c>
      <c r="J15" s="7">
        <f>0.45*10</f>
        <v>4.5</v>
      </c>
      <c r="K15" s="7">
        <f>6.59*10</f>
        <v>65.9</v>
      </c>
      <c r="L15" s="6">
        <v>4909292</v>
      </c>
      <c r="M15" s="6">
        <v>3632595</v>
      </c>
      <c r="N15" s="6">
        <v>443400</v>
      </c>
      <c r="O15" s="7">
        <f>1251.79*10</f>
        <v>12517.9</v>
      </c>
      <c r="P15" s="7">
        <f>89.53*10</f>
        <v>895.3</v>
      </c>
    </row>
    <row r="16" spans="1:16" ht="15">
      <c r="A16" s="33">
        <v>12</v>
      </c>
      <c r="B16" s="8" t="s">
        <v>24</v>
      </c>
      <c r="C16" s="6">
        <v>1384</v>
      </c>
      <c r="D16" s="6">
        <v>371</v>
      </c>
      <c r="E16" s="6">
        <v>1522</v>
      </c>
      <c r="F16" s="6">
        <v>0</v>
      </c>
      <c r="G16" s="6">
        <v>0</v>
      </c>
      <c r="H16" s="4">
        <v>0</v>
      </c>
      <c r="I16" s="4">
        <v>0</v>
      </c>
      <c r="J16" s="9">
        <v>0</v>
      </c>
      <c r="K16" s="9">
        <v>0</v>
      </c>
      <c r="L16" s="4">
        <v>4679040</v>
      </c>
      <c r="M16" s="4">
        <v>4129347</v>
      </c>
      <c r="N16" s="4">
        <v>210884</v>
      </c>
      <c r="O16" s="9">
        <f>1614.429319297*10</f>
        <v>16144.293192969999</v>
      </c>
      <c r="P16" s="9">
        <f>41.8974*10</f>
        <v>418.974</v>
      </c>
    </row>
    <row r="17" spans="1:16" ht="15">
      <c r="A17" s="33">
        <v>13</v>
      </c>
      <c r="B17" s="8" t="s">
        <v>25</v>
      </c>
      <c r="C17" s="6">
        <v>370</v>
      </c>
      <c r="D17" s="6">
        <v>70</v>
      </c>
      <c r="E17" s="6">
        <v>0</v>
      </c>
      <c r="F17" s="6">
        <v>0</v>
      </c>
      <c r="G17" s="6">
        <v>0</v>
      </c>
      <c r="H17" s="4">
        <v>0</v>
      </c>
      <c r="I17" s="4">
        <v>0</v>
      </c>
      <c r="J17" s="9">
        <v>0</v>
      </c>
      <c r="K17" s="9">
        <v>0</v>
      </c>
      <c r="L17" s="4">
        <v>406205</v>
      </c>
      <c r="M17" s="4">
        <v>275584</v>
      </c>
      <c r="N17" s="4">
        <v>2518</v>
      </c>
      <c r="O17" s="9">
        <f>111.15*10</f>
        <v>1111.5</v>
      </c>
      <c r="P17" s="9">
        <f>0.69*10</f>
        <v>6.8999999999999995</v>
      </c>
    </row>
    <row r="18" spans="1:16" ht="15">
      <c r="A18" s="33">
        <v>14</v>
      </c>
      <c r="B18" s="8" t="s">
        <v>26</v>
      </c>
      <c r="C18" s="6">
        <v>3214</v>
      </c>
      <c r="D18" s="6">
        <v>3493</v>
      </c>
      <c r="E18" s="6">
        <v>10460</v>
      </c>
      <c r="F18" s="6">
        <v>0</v>
      </c>
      <c r="G18" s="6">
        <v>123397</v>
      </c>
      <c r="H18" s="4">
        <v>1996</v>
      </c>
      <c r="I18" s="4">
        <v>161256</v>
      </c>
      <c r="J18" s="9">
        <f>0.876641471*10</f>
        <v>8.76641471</v>
      </c>
      <c r="K18" s="9">
        <f>34.677279453*10</f>
        <v>346.77279452999994</v>
      </c>
      <c r="L18" s="4">
        <v>23723688</v>
      </c>
      <c r="M18" s="4">
        <v>19020339</v>
      </c>
      <c r="N18" s="4">
        <v>1668957</v>
      </c>
      <c r="O18" s="9">
        <v>79236.86884945999</v>
      </c>
      <c r="P18" s="9">
        <v>2253.2083392400004</v>
      </c>
    </row>
    <row r="19" spans="1:16" ht="15">
      <c r="A19" s="33">
        <v>15</v>
      </c>
      <c r="B19" s="8" t="s">
        <v>27</v>
      </c>
      <c r="C19" s="11">
        <v>1200</v>
      </c>
      <c r="D19" s="11">
        <v>200</v>
      </c>
      <c r="E19" s="6">
        <v>944</v>
      </c>
      <c r="F19" s="6">
        <v>0</v>
      </c>
      <c r="G19" s="6">
        <v>68148</v>
      </c>
      <c r="H19" s="4">
        <v>1588</v>
      </c>
      <c r="I19" s="4">
        <v>55679</v>
      </c>
      <c r="J19" s="9">
        <f>0.653605289*10</f>
        <v>6.536052890000001</v>
      </c>
      <c r="K19" s="9">
        <f>11.832185843*10</f>
        <v>118.32185842999999</v>
      </c>
      <c r="L19" s="4">
        <v>6012994</v>
      </c>
      <c r="M19" s="4">
        <v>7691742</v>
      </c>
      <c r="N19" s="4">
        <v>323257</v>
      </c>
      <c r="O19" s="9">
        <f>1953.509554746*10</f>
        <v>19535.09554746</v>
      </c>
      <c r="P19" s="9">
        <f>54.980046105*10</f>
        <v>549.80046105</v>
      </c>
    </row>
    <row r="20" spans="1:16" ht="15">
      <c r="A20" s="33">
        <v>16</v>
      </c>
      <c r="B20" s="8" t="s">
        <v>28</v>
      </c>
      <c r="C20" s="6">
        <v>1298</v>
      </c>
      <c r="D20" s="6">
        <v>606</v>
      </c>
      <c r="E20" s="6">
        <v>0</v>
      </c>
      <c r="F20" s="6">
        <v>0</v>
      </c>
      <c r="G20" s="6">
        <v>0</v>
      </c>
      <c r="H20" s="4">
        <v>0</v>
      </c>
      <c r="I20" s="4">
        <v>0</v>
      </c>
      <c r="J20" s="9">
        <v>0</v>
      </c>
      <c r="K20" s="9">
        <v>0</v>
      </c>
      <c r="L20" s="4">
        <v>3801818</v>
      </c>
      <c r="M20" s="4">
        <v>3174334</v>
      </c>
      <c r="N20" s="4">
        <v>349768</v>
      </c>
      <c r="O20" s="9">
        <f>1219.85*10</f>
        <v>12198.5</v>
      </c>
      <c r="P20" s="9">
        <f>44.03*10</f>
        <v>440.3</v>
      </c>
    </row>
    <row r="21" spans="1:16" ht="15">
      <c r="A21" s="33">
        <v>17</v>
      </c>
      <c r="B21" s="8" t="s">
        <v>29</v>
      </c>
      <c r="C21" s="6">
        <v>2970</v>
      </c>
      <c r="D21" s="6">
        <v>2737</v>
      </c>
      <c r="E21" s="6">
        <v>4929</v>
      </c>
      <c r="G21" s="6">
        <v>50575</v>
      </c>
      <c r="H21" s="4">
        <v>936</v>
      </c>
      <c r="I21" s="4">
        <v>58132</v>
      </c>
      <c r="J21" s="9">
        <f>0.43*10</f>
        <v>4.3</v>
      </c>
      <c r="K21" s="9">
        <f>15.88*10</f>
        <v>158.8</v>
      </c>
      <c r="L21" s="4">
        <v>11184840</v>
      </c>
      <c r="M21" s="4">
        <v>10990240</v>
      </c>
      <c r="N21" s="4">
        <v>739453</v>
      </c>
      <c r="O21" s="9">
        <f>3481.6*10</f>
        <v>34816</v>
      </c>
      <c r="P21" s="9">
        <f>115.98*10</f>
        <v>1159.8</v>
      </c>
    </row>
    <row r="22" spans="1:16" ht="15">
      <c r="A22" s="33">
        <v>18</v>
      </c>
      <c r="B22" s="8" t="s">
        <v>30</v>
      </c>
      <c r="C22" s="6">
        <v>560</v>
      </c>
      <c r="D22" s="6">
        <v>648</v>
      </c>
      <c r="E22" s="6">
        <v>0</v>
      </c>
      <c r="F22" s="6">
        <v>0</v>
      </c>
      <c r="G22" s="6">
        <v>0</v>
      </c>
      <c r="H22" s="4">
        <v>0</v>
      </c>
      <c r="I22" s="4">
        <v>0</v>
      </c>
      <c r="J22" s="9">
        <v>0</v>
      </c>
      <c r="K22" s="9">
        <v>0</v>
      </c>
      <c r="L22" s="4">
        <v>2369607</v>
      </c>
      <c r="M22" s="4">
        <v>2592162</v>
      </c>
      <c r="N22" s="4">
        <v>184391</v>
      </c>
      <c r="O22" s="9">
        <f>984.61*10</f>
        <v>9846.1</v>
      </c>
      <c r="P22" s="9">
        <f>31.69*10</f>
        <v>316.90000000000003</v>
      </c>
    </row>
    <row r="23" spans="1:16" ht="15">
      <c r="A23" s="33">
        <v>19</v>
      </c>
      <c r="B23" s="8" t="s">
        <v>31</v>
      </c>
      <c r="C23" s="6">
        <v>814</v>
      </c>
      <c r="D23" s="6">
        <v>210</v>
      </c>
      <c r="E23" s="6">
        <v>1390</v>
      </c>
      <c r="F23" s="6">
        <v>0</v>
      </c>
      <c r="G23" s="6">
        <v>54914</v>
      </c>
      <c r="H23" s="4">
        <v>3923</v>
      </c>
      <c r="I23" s="4">
        <v>160849</v>
      </c>
      <c r="J23" s="9">
        <f>2.124*10</f>
        <v>21.240000000000002</v>
      </c>
      <c r="K23" s="9">
        <f>34.958*10</f>
        <v>349.58</v>
      </c>
      <c r="L23" s="4">
        <v>2956779</v>
      </c>
      <c r="M23" s="4">
        <v>2745579</v>
      </c>
      <c r="N23" s="4">
        <v>207475</v>
      </c>
      <c r="O23" s="9">
        <f>860.786*10</f>
        <v>8607.859999999999</v>
      </c>
      <c r="P23" s="9">
        <f>38.415*10</f>
        <v>384.15</v>
      </c>
    </row>
    <row r="24" spans="1:16" ht="15">
      <c r="A24" s="33">
        <v>20</v>
      </c>
      <c r="B24" s="8" t="s">
        <v>32</v>
      </c>
      <c r="C24" s="6">
        <v>19687</v>
      </c>
      <c r="D24" s="6">
        <v>15475</v>
      </c>
      <c r="E24" s="6">
        <v>114406</v>
      </c>
      <c r="F24" s="6">
        <v>0</v>
      </c>
      <c r="G24" s="13">
        <v>2758042</v>
      </c>
      <c r="H24" s="14">
        <v>42082</v>
      </c>
      <c r="I24" s="14">
        <v>5439913</v>
      </c>
      <c r="J24" s="9">
        <f>20.732832995*10</f>
        <v>207.32832994999998</v>
      </c>
      <c r="K24" s="9">
        <f>1406.915968436*10</f>
        <v>14069.15968436</v>
      </c>
      <c r="L24" s="4">
        <v>127248000</v>
      </c>
      <c r="M24" s="4">
        <v>203335000</v>
      </c>
      <c r="N24" s="4">
        <v>11071000</v>
      </c>
      <c r="O24" s="9">
        <f>58495.98*10</f>
        <v>584959.8</v>
      </c>
      <c r="P24" s="9">
        <f>1704.88*10</f>
        <v>17048.800000000003</v>
      </c>
    </row>
    <row r="25" spans="1:16" ht="15">
      <c r="A25" s="33">
        <v>21</v>
      </c>
      <c r="B25" s="8" t="s">
        <v>33</v>
      </c>
      <c r="C25" s="6">
        <v>721</v>
      </c>
      <c r="D25" s="6">
        <v>509</v>
      </c>
      <c r="E25" s="6">
        <v>805</v>
      </c>
      <c r="F25" s="6">
        <v>0</v>
      </c>
      <c r="G25" s="13">
        <v>0</v>
      </c>
      <c r="H25" s="4">
        <v>0</v>
      </c>
      <c r="I25" s="4">
        <v>0</v>
      </c>
      <c r="J25" s="9">
        <v>0</v>
      </c>
      <c r="K25" s="9">
        <v>0</v>
      </c>
      <c r="L25" s="4">
        <v>5884360</v>
      </c>
      <c r="M25" s="14">
        <v>7381840</v>
      </c>
      <c r="N25" s="14">
        <v>214996</v>
      </c>
      <c r="O25" s="15">
        <f>2225.17796816*10</f>
        <v>22251.7796816</v>
      </c>
      <c r="P25" s="9">
        <f>26.912817878*10</f>
        <v>269.12817878</v>
      </c>
    </row>
    <row r="26" spans="1:16" ht="15">
      <c r="A26" s="33">
        <v>22</v>
      </c>
      <c r="B26" s="8" t="s">
        <v>34</v>
      </c>
      <c r="C26" s="6">
        <v>1307</v>
      </c>
      <c r="D26" s="6">
        <v>536</v>
      </c>
      <c r="E26" s="6">
        <v>61</v>
      </c>
      <c r="F26" s="6">
        <v>0</v>
      </c>
      <c r="G26" s="6">
        <v>0</v>
      </c>
      <c r="H26" s="4">
        <v>0</v>
      </c>
      <c r="I26" s="4">
        <v>0</v>
      </c>
      <c r="J26" s="9">
        <v>0</v>
      </c>
      <c r="K26" s="9">
        <v>0</v>
      </c>
      <c r="L26" s="4">
        <v>8819655</v>
      </c>
      <c r="M26" s="4">
        <v>14183452</v>
      </c>
      <c r="N26" s="4">
        <v>416393</v>
      </c>
      <c r="O26" s="9">
        <f>3590.65*10</f>
        <v>35906.5</v>
      </c>
      <c r="P26" s="9">
        <f>79.43*10</f>
        <v>794.3000000000001</v>
      </c>
    </row>
    <row r="27" spans="1:16" ht="15">
      <c r="A27" s="33">
        <v>23</v>
      </c>
      <c r="B27" s="8" t="s">
        <v>35</v>
      </c>
      <c r="C27" s="6">
        <v>642</v>
      </c>
      <c r="D27" s="6">
        <v>271</v>
      </c>
      <c r="E27" s="6">
        <v>1083</v>
      </c>
      <c r="F27" s="6">
        <v>0</v>
      </c>
      <c r="G27" s="6">
        <v>0</v>
      </c>
      <c r="H27" s="4">
        <v>0</v>
      </c>
      <c r="I27" s="4">
        <v>0</v>
      </c>
      <c r="J27" s="9">
        <v>0</v>
      </c>
      <c r="K27" s="9">
        <v>0</v>
      </c>
      <c r="L27" s="4">
        <v>3530073</v>
      </c>
      <c r="M27" s="4">
        <v>5397193</v>
      </c>
      <c r="N27" s="4">
        <v>209742</v>
      </c>
      <c r="O27" s="9">
        <f>1314*10</f>
        <v>13140</v>
      </c>
      <c r="P27" s="9">
        <f>44.87*10</f>
        <v>448.7</v>
      </c>
    </row>
    <row r="28" spans="1:16" ht="15">
      <c r="A28" s="33">
        <v>24</v>
      </c>
      <c r="B28" s="8" t="s">
        <v>36</v>
      </c>
      <c r="C28" s="6">
        <v>820</v>
      </c>
      <c r="D28" s="6">
        <v>276</v>
      </c>
      <c r="E28" s="6">
        <v>842</v>
      </c>
      <c r="F28" s="6">
        <v>0</v>
      </c>
      <c r="G28" s="6">
        <v>0</v>
      </c>
      <c r="H28" s="4">
        <v>0</v>
      </c>
      <c r="I28" s="4">
        <v>0</v>
      </c>
      <c r="J28" s="9">
        <v>0</v>
      </c>
      <c r="K28" s="9">
        <v>0</v>
      </c>
      <c r="L28" s="4">
        <v>4370268</v>
      </c>
      <c r="M28" s="4">
        <v>4563638</v>
      </c>
      <c r="N28" s="4">
        <v>147202</v>
      </c>
      <c r="O28" s="9">
        <f>1409.867*10</f>
        <v>14098.67</v>
      </c>
      <c r="P28" s="9">
        <f>27.805*10</f>
        <v>278.05</v>
      </c>
    </row>
    <row r="29" spans="1:16" ht="15">
      <c r="A29" s="33">
        <v>25</v>
      </c>
      <c r="B29" s="8" t="s">
        <v>37</v>
      </c>
      <c r="C29" s="6">
        <v>709</v>
      </c>
      <c r="D29" s="6">
        <v>340</v>
      </c>
      <c r="E29" s="6">
        <v>1281</v>
      </c>
      <c r="F29" s="6">
        <v>0</v>
      </c>
      <c r="G29" s="6">
        <v>0</v>
      </c>
      <c r="H29" s="4">
        <v>0</v>
      </c>
      <c r="I29" s="4">
        <v>0</v>
      </c>
      <c r="J29" s="9">
        <v>0</v>
      </c>
      <c r="K29" s="9">
        <v>0</v>
      </c>
      <c r="L29" s="4">
        <v>7915359</v>
      </c>
      <c r="M29" s="4">
        <v>7992599</v>
      </c>
      <c r="N29" s="4">
        <v>327321</v>
      </c>
      <c r="O29" s="9">
        <f>2364.099281951*10</f>
        <v>23640.99281951</v>
      </c>
      <c r="P29" s="9">
        <f>60.850244694*10</f>
        <v>608.50244694</v>
      </c>
    </row>
    <row r="30" spans="1:16" ht="15">
      <c r="A30" s="33">
        <v>26</v>
      </c>
      <c r="B30" s="8" t="s">
        <v>38</v>
      </c>
      <c r="C30" s="6">
        <v>1026</v>
      </c>
      <c r="D30" s="6">
        <v>993</v>
      </c>
      <c r="E30" s="6">
        <v>14417</v>
      </c>
      <c r="F30" s="6">
        <v>0</v>
      </c>
      <c r="G30" s="6">
        <v>0</v>
      </c>
      <c r="H30" s="4">
        <v>0</v>
      </c>
      <c r="I30" s="4">
        <v>0</v>
      </c>
      <c r="J30" s="9">
        <v>0</v>
      </c>
      <c r="K30" s="9">
        <v>0</v>
      </c>
      <c r="L30" s="4">
        <v>6042406</v>
      </c>
      <c r="M30" s="4">
        <v>6989358</v>
      </c>
      <c r="N30" s="4">
        <v>1054122</v>
      </c>
      <c r="O30" s="9">
        <f>2747.777085919*10</f>
        <v>27477.77085919</v>
      </c>
      <c r="P30" s="9">
        <f>156.52154452464*10</f>
        <v>1565.2154452464001</v>
      </c>
    </row>
    <row r="31" spans="1:18" ht="15">
      <c r="A31" s="33">
        <v>27</v>
      </c>
      <c r="B31" s="8" t="s">
        <v>39</v>
      </c>
      <c r="C31" s="6">
        <v>161</v>
      </c>
      <c r="D31" s="6">
        <v>58</v>
      </c>
      <c r="E31" s="6">
        <v>0</v>
      </c>
      <c r="F31" s="6">
        <v>0</v>
      </c>
      <c r="G31" s="6">
        <v>0</v>
      </c>
      <c r="H31" s="4">
        <v>0</v>
      </c>
      <c r="I31" s="4">
        <v>0</v>
      </c>
      <c r="J31" s="9">
        <v>0</v>
      </c>
      <c r="K31" s="9">
        <v>0</v>
      </c>
      <c r="L31" s="4">
        <v>543638</v>
      </c>
      <c r="M31" s="4">
        <v>282631</v>
      </c>
      <c r="N31" s="4">
        <v>14297</v>
      </c>
      <c r="O31" s="9">
        <f>75.121454935*10</f>
        <v>751.21454935</v>
      </c>
      <c r="P31" s="9">
        <f>3.530850755*10</f>
        <v>35.30850755</v>
      </c>
      <c r="Q31" s="16"/>
      <c r="R31" s="16"/>
    </row>
    <row r="32" spans="1:18" ht="15">
      <c r="A32" s="33">
        <v>28</v>
      </c>
      <c r="B32" s="8" t="s">
        <v>40</v>
      </c>
      <c r="C32" s="6">
        <v>359</v>
      </c>
      <c r="D32" s="6">
        <v>530</v>
      </c>
      <c r="E32" s="6">
        <v>2633</v>
      </c>
      <c r="F32" s="6">
        <v>0</v>
      </c>
      <c r="G32" s="6">
        <v>0</v>
      </c>
      <c r="H32" s="4">
        <v>0</v>
      </c>
      <c r="I32" s="4">
        <v>0</v>
      </c>
      <c r="J32" s="9">
        <v>0</v>
      </c>
      <c r="K32" s="9">
        <v>0</v>
      </c>
      <c r="L32" s="4">
        <v>1133481</v>
      </c>
      <c r="M32" s="4">
        <v>1440145</v>
      </c>
      <c r="N32" s="4">
        <v>183652</v>
      </c>
      <c r="O32" s="9">
        <f>476.7*10</f>
        <v>4767</v>
      </c>
      <c r="P32" s="9">
        <f>21.899*10</f>
        <v>218.99</v>
      </c>
      <c r="Q32" s="16"/>
      <c r="R32" s="16"/>
    </row>
    <row r="33" spans="1:18" ht="15">
      <c r="A33" s="33">
        <v>29</v>
      </c>
      <c r="B33" s="8" t="s">
        <v>41</v>
      </c>
      <c r="C33" s="6">
        <v>178</v>
      </c>
      <c r="D33" s="6">
        <v>218</v>
      </c>
      <c r="E33" s="6">
        <v>0</v>
      </c>
      <c r="F33" s="6">
        <v>0</v>
      </c>
      <c r="G33" s="6">
        <v>3028</v>
      </c>
      <c r="H33" s="4">
        <v>16</v>
      </c>
      <c r="I33" s="4">
        <v>5748</v>
      </c>
      <c r="J33" s="9">
        <v>0.0012</v>
      </c>
      <c r="K33" s="9">
        <f>1.32*10</f>
        <v>13.200000000000001</v>
      </c>
      <c r="L33" s="4">
        <v>804601</v>
      </c>
      <c r="M33" s="4">
        <v>424163</v>
      </c>
      <c r="N33" s="4">
        <v>51378</v>
      </c>
      <c r="O33" s="9">
        <f>149.99*10</f>
        <v>1499.9</v>
      </c>
      <c r="P33" s="9">
        <f>7.65*10</f>
        <v>76.5</v>
      </c>
      <c r="Q33" s="16"/>
      <c r="R33" s="16"/>
    </row>
    <row r="34" spans="1:18" ht="15">
      <c r="A34" s="33">
        <v>30</v>
      </c>
      <c r="B34" s="8" t="s">
        <v>42</v>
      </c>
      <c r="C34" s="6">
        <v>881</v>
      </c>
      <c r="D34" s="6">
        <v>420</v>
      </c>
      <c r="E34" s="6">
        <v>8559</v>
      </c>
      <c r="F34" s="6">
        <v>0</v>
      </c>
      <c r="G34" s="6">
        <v>0</v>
      </c>
      <c r="H34" s="4">
        <v>0</v>
      </c>
      <c r="I34" s="4">
        <v>0</v>
      </c>
      <c r="J34" s="9">
        <v>0</v>
      </c>
      <c r="K34" s="9">
        <v>0</v>
      </c>
      <c r="L34" s="4">
        <v>3562796</v>
      </c>
      <c r="M34" s="4">
        <v>3417073</v>
      </c>
      <c r="N34" s="4">
        <v>384173</v>
      </c>
      <c r="O34" s="9">
        <f>1447.62*10</f>
        <v>14476.199999999999</v>
      </c>
      <c r="P34" s="9">
        <f>62.45*10</f>
        <v>624.5</v>
      </c>
      <c r="Q34" s="16"/>
      <c r="R34" s="16"/>
    </row>
    <row r="35" spans="1:18" ht="15">
      <c r="A35" s="33">
        <v>31</v>
      </c>
      <c r="B35" s="8" t="s">
        <v>43</v>
      </c>
      <c r="C35" s="6">
        <v>271</v>
      </c>
      <c r="D35" s="6">
        <v>353</v>
      </c>
      <c r="E35" s="6">
        <v>0</v>
      </c>
      <c r="F35" s="6">
        <v>0</v>
      </c>
      <c r="G35" s="6">
        <v>0</v>
      </c>
      <c r="H35" s="4">
        <v>0</v>
      </c>
      <c r="I35" s="4">
        <v>0</v>
      </c>
      <c r="J35" s="9">
        <v>0</v>
      </c>
      <c r="K35" s="9">
        <v>0</v>
      </c>
      <c r="L35" s="4">
        <v>1282553</v>
      </c>
      <c r="M35" s="4">
        <v>2213146</v>
      </c>
      <c r="N35" s="4">
        <v>213761</v>
      </c>
      <c r="O35" s="9">
        <f>639.3*10</f>
        <v>6393</v>
      </c>
      <c r="P35" s="9">
        <f>47.43*10</f>
        <v>474.3</v>
      </c>
      <c r="Q35" s="16"/>
      <c r="R35" s="16"/>
    </row>
    <row r="36" spans="1:18" ht="15">
      <c r="A36" s="34">
        <v>32</v>
      </c>
      <c r="B36" s="10" t="s">
        <v>44</v>
      </c>
      <c r="C36" s="6">
        <v>469</v>
      </c>
      <c r="D36" s="6">
        <v>283</v>
      </c>
      <c r="E36" s="6">
        <v>3672</v>
      </c>
      <c r="F36" s="6">
        <v>0</v>
      </c>
      <c r="G36" s="6">
        <v>36228</v>
      </c>
      <c r="H36" s="4">
        <v>2211</v>
      </c>
      <c r="I36" s="4">
        <v>51078</v>
      </c>
      <c r="J36" s="9">
        <f>0.786*10</f>
        <v>7.86</v>
      </c>
      <c r="K36" s="9">
        <f>19.456*10</f>
        <v>194.56</v>
      </c>
      <c r="L36" s="4">
        <v>1504048</v>
      </c>
      <c r="M36" s="4">
        <v>2870015</v>
      </c>
      <c r="N36" s="4">
        <v>45621</v>
      </c>
      <c r="O36" s="9">
        <f>1318.978*10</f>
        <v>13189.78</v>
      </c>
      <c r="P36" s="9">
        <f>16.455*10</f>
        <v>164.54999999999998</v>
      </c>
      <c r="Q36" s="16"/>
      <c r="R36" s="16"/>
    </row>
    <row r="37" spans="1:18" ht="15">
      <c r="A37" s="33">
        <v>33</v>
      </c>
      <c r="B37" s="8" t="s">
        <v>45</v>
      </c>
      <c r="C37" s="6">
        <v>322</v>
      </c>
      <c r="D37" s="6">
        <v>270</v>
      </c>
      <c r="E37" s="6">
        <v>2031</v>
      </c>
      <c r="F37" s="6">
        <v>0</v>
      </c>
      <c r="G37" s="6">
        <v>0</v>
      </c>
      <c r="H37" s="6">
        <v>0</v>
      </c>
      <c r="I37" s="6">
        <v>0</v>
      </c>
      <c r="J37" s="7">
        <v>0</v>
      </c>
      <c r="K37" s="7">
        <v>0</v>
      </c>
      <c r="L37" s="6">
        <v>2059819</v>
      </c>
      <c r="M37" s="6">
        <v>1969222</v>
      </c>
      <c r="N37" s="6">
        <v>226021</v>
      </c>
      <c r="O37" s="7">
        <f>626.65*10</f>
        <v>6266.5</v>
      </c>
      <c r="P37" s="7">
        <f>34.51*10</f>
        <v>345.09999999999997</v>
      </c>
      <c r="Q37" s="20"/>
      <c r="R37" s="20"/>
    </row>
    <row r="38" spans="1:18" ht="15">
      <c r="A38" s="33">
        <v>34</v>
      </c>
      <c r="B38" s="8" t="s">
        <v>46</v>
      </c>
      <c r="C38" s="6">
        <v>619</v>
      </c>
      <c r="D38" s="6">
        <v>923</v>
      </c>
      <c r="E38" s="6">
        <v>7584</v>
      </c>
      <c r="F38" s="6">
        <v>0</v>
      </c>
      <c r="G38" s="6">
        <v>0</v>
      </c>
      <c r="H38" s="4">
        <v>0</v>
      </c>
      <c r="I38" s="4">
        <v>0</v>
      </c>
      <c r="J38" s="9">
        <v>0</v>
      </c>
      <c r="K38" s="9">
        <v>0</v>
      </c>
      <c r="L38" s="4">
        <v>2656389</v>
      </c>
      <c r="M38" s="4">
        <v>3149147</v>
      </c>
      <c r="N38" s="4">
        <v>321797</v>
      </c>
      <c r="O38" s="9">
        <f>1270.42114588*10</f>
        <v>12704.2114588</v>
      </c>
      <c r="P38" s="9">
        <f>42.623920051*10</f>
        <v>426.23920051</v>
      </c>
      <c r="Q38" s="16"/>
      <c r="R38" s="16"/>
    </row>
    <row r="39" spans="1:18" ht="15">
      <c r="A39" s="33">
        <v>35</v>
      </c>
      <c r="B39" s="8" t="s">
        <v>47</v>
      </c>
      <c r="C39" s="6">
        <v>193</v>
      </c>
      <c r="D39" s="6">
        <v>495</v>
      </c>
      <c r="E39" s="6">
        <v>3405</v>
      </c>
      <c r="F39" s="6">
        <v>0</v>
      </c>
      <c r="G39" s="6">
        <v>0</v>
      </c>
      <c r="H39" s="4">
        <v>0</v>
      </c>
      <c r="I39" s="4">
        <v>0</v>
      </c>
      <c r="J39" s="9">
        <v>0</v>
      </c>
      <c r="K39" s="9">
        <v>0</v>
      </c>
      <c r="L39" s="4">
        <v>441001</v>
      </c>
      <c r="M39" s="4">
        <v>1342621</v>
      </c>
      <c r="N39" s="4">
        <v>116296</v>
      </c>
      <c r="O39" s="9">
        <f>416.12*10</f>
        <v>4161.2</v>
      </c>
      <c r="P39" s="9">
        <f>31.36*10</f>
        <v>313.6</v>
      </c>
      <c r="Q39" s="16"/>
      <c r="R39" s="16"/>
    </row>
    <row r="40" spans="1:18" ht="15">
      <c r="A40" s="33">
        <v>36</v>
      </c>
      <c r="B40" s="8" t="s">
        <v>48</v>
      </c>
      <c r="C40" s="6">
        <v>82</v>
      </c>
      <c r="D40" s="6">
        <v>183</v>
      </c>
      <c r="E40" s="6">
        <v>0</v>
      </c>
      <c r="F40" s="6">
        <v>0</v>
      </c>
      <c r="G40" s="6">
        <v>0</v>
      </c>
      <c r="H40" s="4">
        <v>0</v>
      </c>
      <c r="I40" s="4">
        <v>0</v>
      </c>
      <c r="J40" s="9">
        <v>0</v>
      </c>
      <c r="K40" s="9">
        <v>0</v>
      </c>
      <c r="L40" s="4">
        <v>75060</v>
      </c>
      <c r="M40" s="4">
        <v>147620</v>
      </c>
      <c r="N40" s="4">
        <v>12830</v>
      </c>
      <c r="O40" s="9">
        <f>42.61328*10</f>
        <v>426.13280000000003</v>
      </c>
      <c r="P40" s="9">
        <f>2.141092929*10</f>
        <v>21.41092929</v>
      </c>
      <c r="Q40" s="16"/>
      <c r="R40" s="16"/>
    </row>
    <row r="41" spans="1:18" ht="15">
      <c r="A41" s="33">
        <v>37</v>
      </c>
      <c r="B41" s="19" t="s">
        <v>49</v>
      </c>
      <c r="C41" s="13">
        <v>670</v>
      </c>
      <c r="D41" s="13">
        <v>228</v>
      </c>
      <c r="E41" s="13">
        <v>333</v>
      </c>
      <c r="F41" s="13">
        <v>0</v>
      </c>
      <c r="G41" s="13">
        <v>0</v>
      </c>
      <c r="H41" s="4">
        <v>0</v>
      </c>
      <c r="I41" s="4">
        <v>0</v>
      </c>
      <c r="J41" s="9">
        <v>0</v>
      </c>
      <c r="K41" s="9">
        <v>0</v>
      </c>
      <c r="L41" s="4">
        <v>3012462</v>
      </c>
      <c r="M41" s="4">
        <v>1999962</v>
      </c>
      <c r="N41" s="4">
        <v>156506</v>
      </c>
      <c r="O41" s="9">
        <f>665.45*10</f>
        <v>6654.5</v>
      </c>
      <c r="P41" s="9">
        <f>29.66*10</f>
        <v>296.6</v>
      </c>
      <c r="Q41" s="21"/>
      <c r="R41" s="21"/>
    </row>
    <row r="42" spans="1:18" ht="15">
      <c r="A42" s="33">
        <v>38</v>
      </c>
      <c r="B42" s="8" t="s">
        <v>50</v>
      </c>
      <c r="C42" s="6">
        <v>260</v>
      </c>
      <c r="D42" s="6">
        <v>320</v>
      </c>
      <c r="E42" s="6">
        <v>1191</v>
      </c>
      <c r="F42" s="6">
        <v>0</v>
      </c>
      <c r="G42" s="6">
        <v>6162</v>
      </c>
      <c r="H42" s="14">
        <v>0</v>
      </c>
      <c r="I42" s="4">
        <v>5599</v>
      </c>
      <c r="J42" s="9">
        <v>0</v>
      </c>
      <c r="K42" s="9">
        <f>11.283512*10</f>
        <v>112.83512</v>
      </c>
      <c r="L42" s="4">
        <v>615226</v>
      </c>
      <c r="M42" s="4">
        <v>2061146</v>
      </c>
      <c r="N42" s="4">
        <v>33381</v>
      </c>
      <c r="O42" s="9">
        <f>787.52*10</f>
        <v>7875.2</v>
      </c>
      <c r="P42" s="9">
        <f>8.6*10</f>
        <v>86</v>
      </c>
      <c r="Q42" s="16"/>
      <c r="R42" s="16"/>
    </row>
    <row r="43" spans="1:18" ht="15">
      <c r="A43" s="33">
        <v>39</v>
      </c>
      <c r="B43" s="8" t="s">
        <v>51</v>
      </c>
      <c r="C43" s="6">
        <v>98</v>
      </c>
      <c r="D43" s="6">
        <v>146</v>
      </c>
      <c r="E43" s="6">
        <v>576</v>
      </c>
      <c r="F43" s="6">
        <v>0</v>
      </c>
      <c r="G43" s="6">
        <v>3060</v>
      </c>
      <c r="H43" s="4">
        <v>419</v>
      </c>
      <c r="I43" s="4">
        <v>5054</v>
      </c>
      <c r="J43" s="9">
        <f>0.25*10</f>
        <v>2.5</v>
      </c>
      <c r="K43" s="9">
        <f>1.07*10</f>
        <v>10.700000000000001</v>
      </c>
      <c r="L43" s="4">
        <v>165172</v>
      </c>
      <c r="M43" s="4">
        <v>332195</v>
      </c>
      <c r="N43" s="4">
        <v>52457</v>
      </c>
      <c r="O43" s="9">
        <f>143.21*10</f>
        <v>1432.1000000000001</v>
      </c>
      <c r="P43" s="9">
        <f>9.56*10</f>
        <v>95.60000000000001</v>
      </c>
      <c r="Q43" s="16"/>
      <c r="R43" s="16"/>
    </row>
    <row r="44" spans="1:18" ht="15">
      <c r="A44" s="33">
        <v>40</v>
      </c>
      <c r="B44" s="8" t="s">
        <v>52</v>
      </c>
      <c r="C44" s="6">
        <v>4651</v>
      </c>
      <c r="D44" s="6">
        <v>6694</v>
      </c>
      <c r="E44" s="6">
        <v>223006</v>
      </c>
      <c r="F44" s="6">
        <v>0</v>
      </c>
      <c r="G44" s="6">
        <v>5117856</v>
      </c>
      <c r="H44" s="4">
        <v>69096</v>
      </c>
      <c r="I44" s="4">
        <v>13197140</v>
      </c>
      <c r="J44" s="9">
        <f>46.746530662*10</f>
        <v>467.46530662</v>
      </c>
      <c r="K44" s="9">
        <f>3738.251870085*10</f>
        <v>37382.51870085</v>
      </c>
      <c r="L44" s="4">
        <v>17297969</v>
      </c>
      <c r="M44" s="4">
        <v>30426316</v>
      </c>
      <c r="N44" s="4">
        <v>8425986</v>
      </c>
      <c r="O44" s="9">
        <f>13187.480911989*10</f>
        <v>131874.80911989</v>
      </c>
      <c r="P44" s="9">
        <f>1357.535518936*10</f>
        <v>13575.35518936</v>
      </c>
      <c r="Q44" s="16"/>
      <c r="R44" s="16"/>
    </row>
    <row r="45" spans="1:18" ht="15">
      <c r="A45" s="33">
        <v>41</v>
      </c>
      <c r="B45" s="8" t="s">
        <v>53</v>
      </c>
      <c r="C45" s="6">
        <v>3692</v>
      </c>
      <c r="D45" s="6">
        <v>7483</v>
      </c>
      <c r="E45" s="6">
        <v>228686</v>
      </c>
      <c r="F45" s="6">
        <v>9441</v>
      </c>
      <c r="G45" s="6">
        <v>3094705</v>
      </c>
      <c r="H45" s="4">
        <v>6633</v>
      </c>
      <c r="I45" s="4">
        <v>5819504</v>
      </c>
      <c r="J45" s="9">
        <f>3.16*10</f>
        <v>31.6</v>
      </c>
      <c r="K45" s="9">
        <f>1324.52*10</f>
        <v>13245.2</v>
      </c>
      <c r="L45" s="4">
        <v>21014427</v>
      </c>
      <c r="M45" s="4">
        <v>31328329</v>
      </c>
      <c r="N45" s="4">
        <v>8783452</v>
      </c>
      <c r="O45" s="9">
        <f>13912.425*10</f>
        <v>139124.25</v>
      </c>
      <c r="P45" s="9">
        <f>1504.503*10</f>
        <v>15045.029999999999</v>
      </c>
      <c r="Q45" s="16"/>
      <c r="R45" s="16"/>
    </row>
    <row r="46" spans="1:18" ht="15">
      <c r="A46" s="33">
        <v>42</v>
      </c>
      <c r="B46" s="8" t="s">
        <v>54</v>
      </c>
      <c r="C46" s="6">
        <v>479</v>
      </c>
      <c r="D46" s="6">
        <v>563</v>
      </c>
      <c r="E46" s="6">
        <v>173</v>
      </c>
      <c r="F46" s="6">
        <v>0</v>
      </c>
      <c r="G46" s="6">
        <v>261871</v>
      </c>
      <c r="H46" s="4">
        <v>706</v>
      </c>
      <c r="I46" s="4">
        <v>467578</v>
      </c>
      <c r="J46" s="9">
        <f>0.42*10</f>
        <v>4.2</v>
      </c>
      <c r="K46" s="9">
        <f>175.58*10</f>
        <v>1755.8000000000002</v>
      </c>
      <c r="L46" s="4">
        <v>1462578</v>
      </c>
      <c r="M46" s="4">
        <v>1435071</v>
      </c>
      <c r="N46" s="4">
        <v>236537</v>
      </c>
      <c r="O46" s="9">
        <f>589.68*10</f>
        <v>5896.799999999999</v>
      </c>
      <c r="P46" s="9">
        <f>40.51*10</f>
        <v>405.09999999999997</v>
      </c>
      <c r="Q46" s="16"/>
      <c r="R46" s="16"/>
    </row>
    <row r="47" spans="1:18" ht="15">
      <c r="A47" s="33">
        <v>43</v>
      </c>
      <c r="B47" s="8" t="s">
        <v>55</v>
      </c>
      <c r="C47" s="6">
        <v>398</v>
      </c>
      <c r="D47" s="6">
        <v>631</v>
      </c>
      <c r="E47" s="6">
        <v>0</v>
      </c>
      <c r="F47" s="6">
        <v>0</v>
      </c>
      <c r="G47" s="6">
        <v>392552</v>
      </c>
      <c r="H47" s="6">
        <v>3349</v>
      </c>
      <c r="I47" s="6">
        <v>641443</v>
      </c>
      <c r="J47" s="7">
        <f>2.267014172*10</f>
        <v>22.67014172</v>
      </c>
      <c r="K47" s="7">
        <f>211.264712715*10</f>
        <v>2112.64712715</v>
      </c>
      <c r="L47" s="6">
        <v>1068920</v>
      </c>
      <c r="M47" s="6">
        <v>2454249</v>
      </c>
      <c r="N47" s="6">
        <v>656264</v>
      </c>
      <c r="O47" s="7">
        <f>895.873139095002*10</f>
        <v>8958.731390950019</v>
      </c>
      <c r="P47" s="7">
        <f>101.959902095016*10</f>
        <v>1019.59902095016</v>
      </c>
      <c r="Q47" s="20"/>
      <c r="R47" s="20"/>
    </row>
    <row r="48" spans="1:18" ht="15">
      <c r="A48" s="33">
        <v>44</v>
      </c>
      <c r="B48" s="8" t="s">
        <v>56</v>
      </c>
      <c r="C48" s="6">
        <v>2430</v>
      </c>
      <c r="D48" s="6">
        <v>9596</v>
      </c>
      <c r="E48" s="6">
        <v>240150</v>
      </c>
      <c r="F48" s="6">
        <v>0</v>
      </c>
      <c r="G48" s="6">
        <v>1308672</v>
      </c>
      <c r="H48" s="4">
        <v>13370</v>
      </c>
      <c r="I48" s="4">
        <v>2257072</v>
      </c>
      <c r="J48" s="9">
        <f>3.27319*10</f>
        <v>32.7319</v>
      </c>
      <c r="K48" s="9">
        <f>735.418308703*10</f>
        <v>7354.18308703</v>
      </c>
      <c r="L48" s="4">
        <v>13590074</v>
      </c>
      <c r="M48" s="4">
        <v>26774689</v>
      </c>
      <c r="N48" s="4">
        <v>4608309</v>
      </c>
      <c r="O48" s="9">
        <f>11382.25374936*10</f>
        <v>113822.53749359999</v>
      </c>
      <c r="P48" s="9">
        <f>762.930598202*10</f>
        <v>7629.305982020001</v>
      </c>
      <c r="Q48" s="16"/>
      <c r="R48" s="16"/>
    </row>
    <row r="49" spans="1:18" ht="15">
      <c r="A49" s="33">
        <v>45</v>
      </c>
      <c r="B49" s="8" t="s">
        <v>57</v>
      </c>
      <c r="C49" s="6">
        <v>385</v>
      </c>
      <c r="D49" s="6">
        <v>770</v>
      </c>
      <c r="E49" s="6">
        <v>6615</v>
      </c>
      <c r="F49" s="6">
        <v>0</v>
      </c>
      <c r="G49" s="6">
        <v>0</v>
      </c>
      <c r="H49" s="4">
        <v>0</v>
      </c>
      <c r="I49" s="4">
        <v>0</v>
      </c>
      <c r="J49" s="9">
        <v>0</v>
      </c>
      <c r="K49" s="9">
        <v>0</v>
      </c>
      <c r="L49" s="4">
        <v>536564</v>
      </c>
      <c r="M49" s="4">
        <v>1093389</v>
      </c>
      <c r="N49" s="4">
        <v>246747</v>
      </c>
      <c r="O49" s="9">
        <f>391.116999719*10</f>
        <v>3911.16999719</v>
      </c>
      <c r="P49" s="9">
        <f>41.520418457*10</f>
        <v>415.20418457</v>
      </c>
      <c r="Q49" s="16"/>
      <c r="R49" s="16"/>
    </row>
    <row r="50" spans="1:18" ht="15">
      <c r="A50" s="33">
        <v>46</v>
      </c>
      <c r="B50" s="8" t="s">
        <v>58</v>
      </c>
      <c r="C50" s="6">
        <v>21</v>
      </c>
      <c r="D50" s="6">
        <v>79</v>
      </c>
      <c r="E50" s="6">
        <v>0</v>
      </c>
      <c r="F50" s="6">
        <v>0</v>
      </c>
      <c r="G50" s="13">
        <v>80937</v>
      </c>
      <c r="H50" s="4">
        <v>581</v>
      </c>
      <c r="I50" s="14">
        <v>131990</v>
      </c>
      <c r="J50" s="9">
        <f>0.463428887*10</f>
        <v>4.63428887</v>
      </c>
      <c r="K50" s="9">
        <f>38.8045595*10</f>
        <v>388.04559500000005</v>
      </c>
      <c r="L50" s="14">
        <v>164096</v>
      </c>
      <c r="M50" s="14">
        <v>286372</v>
      </c>
      <c r="N50" s="14">
        <v>88655</v>
      </c>
      <c r="O50" s="9">
        <f>122.744132903*10</f>
        <v>1227.44132903</v>
      </c>
      <c r="P50" s="9">
        <f>17.84613791*10</f>
        <v>178.4613791</v>
      </c>
      <c r="Q50" s="16"/>
      <c r="R50" s="16"/>
    </row>
    <row r="51" spans="1:18" ht="15">
      <c r="A51" s="33">
        <v>47</v>
      </c>
      <c r="B51" s="8" t="s">
        <v>59</v>
      </c>
      <c r="C51" s="6">
        <v>0</v>
      </c>
      <c r="D51" s="6">
        <v>0</v>
      </c>
      <c r="E51" s="6">
        <v>21610</v>
      </c>
      <c r="F51" s="6">
        <v>0</v>
      </c>
      <c r="G51" s="6">
        <v>642336</v>
      </c>
      <c r="H51" s="4">
        <v>5507</v>
      </c>
      <c r="I51" s="4">
        <v>1717974</v>
      </c>
      <c r="J51" s="9">
        <v>39.4742</v>
      </c>
      <c r="K51" s="9">
        <v>15811.7984851789</v>
      </c>
      <c r="L51" s="4">
        <v>0</v>
      </c>
      <c r="M51" s="4">
        <v>0</v>
      </c>
      <c r="N51" s="4">
        <v>0</v>
      </c>
      <c r="O51" s="9">
        <v>0</v>
      </c>
      <c r="P51" s="9">
        <v>0</v>
      </c>
      <c r="Q51" s="16"/>
      <c r="R51" s="16"/>
    </row>
    <row r="52" spans="1:18" ht="15">
      <c r="A52" s="33">
        <v>48</v>
      </c>
      <c r="B52" s="8" t="s">
        <v>60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4">
        <v>0</v>
      </c>
      <c r="I52" s="4">
        <v>0</v>
      </c>
      <c r="J52" s="9">
        <v>0</v>
      </c>
      <c r="K52" s="9">
        <v>0</v>
      </c>
      <c r="L52" s="4">
        <v>4491</v>
      </c>
      <c r="M52" s="4">
        <v>691</v>
      </c>
      <c r="N52" s="4">
        <v>332</v>
      </c>
      <c r="O52" s="9">
        <f>0.42611439*10</f>
        <v>4.2611439</v>
      </c>
      <c r="P52" s="9">
        <f>0.178441935*10</f>
        <v>1.7844193499999998</v>
      </c>
      <c r="Q52" s="16"/>
      <c r="R52" s="16"/>
    </row>
    <row r="53" spans="1:18" ht="15">
      <c r="A53" s="33">
        <v>49</v>
      </c>
      <c r="B53" s="8" t="s">
        <v>61</v>
      </c>
      <c r="C53" s="6">
        <v>56</v>
      </c>
      <c r="D53" s="6">
        <v>569</v>
      </c>
      <c r="E53" s="6">
        <v>16672</v>
      </c>
      <c r="F53" s="6">
        <v>0</v>
      </c>
      <c r="G53" s="6">
        <v>2397347</v>
      </c>
      <c r="H53" s="4">
        <v>39688</v>
      </c>
      <c r="I53" s="4">
        <v>7732655</v>
      </c>
      <c r="J53" s="9">
        <f>26.4673371737538*10</f>
        <v>264.673371737538</v>
      </c>
      <c r="K53" s="9">
        <f>2109.867963615*10</f>
        <v>21098.679636150002</v>
      </c>
      <c r="L53" s="4">
        <v>1794778</v>
      </c>
      <c r="M53" s="4">
        <v>3634925</v>
      </c>
      <c r="N53" s="4">
        <v>1903630</v>
      </c>
      <c r="O53" s="9">
        <f>1286.95196075324*10</f>
        <v>12869.5196075324</v>
      </c>
      <c r="P53" s="9">
        <f>427.989859934*10</f>
        <v>4279.89859934</v>
      </c>
      <c r="Q53" s="16"/>
      <c r="R53" s="16"/>
    </row>
    <row r="54" spans="1:18" ht="15">
      <c r="A54" s="33">
        <v>50</v>
      </c>
      <c r="B54" s="8" t="s">
        <v>62</v>
      </c>
      <c r="C54" s="6">
        <v>13</v>
      </c>
      <c r="D54" s="6">
        <v>33</v>
      </c>
      <c r="E54" s="6">
        <v>0</v>
      </c>
      <c r="F54" s="6">
        <v>0</v>
      </c>
      <c r="G54" s="6">
        <v>0</v>
      </c>
      <c r="H54" s="4">
        <v>0</v>
      </c>
      <c r="I54" s="4">
        <v>0</v>
      </c>
      <c r="J54" s="9">
        <v>0</v>
      </c>
      <c r="K54" s="9">
        <v>0</v>
      </c>
      <c r="L54" s="4">
        <v>76200</v>
      </c>
      <c r="M54" s="4">
        <v>196315</v>
      </c>
      <c r="N54" s="4">
        <v>89542</v>
      </c>
      <c r="O54" s="9">
        <f>81.0146295*10</f>
        <v>810.146295</v>
      </c>
      <c r="P54" s="9">
        <f>18.9827067*10</f>
        <v>189.827067</v>
      </c>
      <c r="Q54" s="16"/>
      <c r="R54" s="16"/>
    </row>
    <row r="55" spans="1:18" ht="15">
      <c r="A55" s="33">
        <v>51</v>
      </c>
      <c r="B55" s="8" t="s">
        <v>63</v>
      </c>
      <c r="C55" s="6">
        <v>6</v>
      </c>
      <c r="D55" s="6">
        <v>30</v>
      </c>
      <c r="E55" s="6">
        <v>0</v>
      </c>
      <c r="F55" s="6">
        <v>0</v>
      </c>
      <c r="G55" s="6">
        <v>0</v>
      </c>
      <c r="H55" s="4">
        <v>0</v>
      </c>
      <c r="I55" s="4">
        <v>0</v>
      </c>
      <c r="J55" s="9">
        <v>0</v>
      </c>
      <c r="K55" s="9">
        <v>0</v>
      </c>
      <c r="L55" s="4">
        <v>14963</v>
      </c>
      <c r="M55" s="4">
        <v>61134</v>
      </c>
      <c r="N55" s="4">
        <v>8261</v>
      </c>
      <c r="O55" s="9">
        <f>16.71*10</f>
        <v>167.10000000000002</v>
      </c>
      <c r="P55" s="9">
        <f>1.9*10</f>
        <v>19</v>
      </c>
      <c r="Q55" s="16"/>
      <c r="R55" s="16"/>
    </row>
    <row r="56" spans="1:18" ht="15">
      <c r="A56" s="33">
        <v>52</v>
      </c>
      <c r="B56" s="8" t="s">
        <v>64</v>
      </c>
      <c r="C56" s="6">
        <v>70</v>
      </c>
      <c r="D56" s="6">
        <v>75</v>
      </c>
      <c r="E56" s="6">
        <v>11789</v>
      </c>
      <c r="F56" s="6">
        <v>5354</v>
      </c>
      <c r="G56" s="6">
        <v>495543</v>
      </c>
      <c r="H56" s="4">
        <v>3996</v>
      </c>
      <c r="I56" s="4">
        <v>986617</v>
      </c>
      <c r="J56" s="9">
        <f>2.799000629*10</f>
        <v>27.99000629</v>
      </c>
      <c r="K56" s="9">
        <f>301.665252178991*10</f>
        <v>3016.65252178991</v>
      </c>
      <c r="L56" s="4">
        <v>606629</v>
      </c>
      <c r="M56" s="4">
        <v>485131</v>
      </c>
      <c r="N56" s="4">
        <v>296907</v>
      </c>
      <c r="O56" s="9">
        <f>224.689555079*10</f>
        <v>2246.89555079</v>
      </c>
      <c r="P56" s="9">
        <f>75.490510806*10</f>
        <v>754.90510806</v>
      </c>
      <c r="Q56" s="16"/>
      <c r="R56" s="16"/>
    </row>
    <row r="57" spans="1:18" ht="15">
      <c r="A57" s="33">
        <v>53</v>
      </c>
      <c r="B57" s="8" t="s">
        <v>65</v>
      </c>
      <c r="C57" s="6">
        <v>104</v>
      </c>
      <c r="D57" s="6">
        <v>174</v>
      </c>
      <c r="E57" s="6">
        <v>0</v>
      </c>
      <c r="F57" s="6">
        <v>0</v>
      </c>
      <c r="G57" s="13">
        <v>1196950</v>
      </c>
      <c r="H57" s="14">
        <v>3072</v>
      </c>
      <c r="I57" s="14">
        <v>2252104</v>
      </c>
      <c r="J57" s="9">
        <f>1.34*10</f>
        <v>13.4</v>
      </c>
      <c r="K57" s="9">
        <f>710.42*10</f>
        <v>7104.2</v>
      </c>
      <c r="L57" s="4">
        <v>710015</v>
      </c>
      <c r="M57" s="4">
        <v>1359195</v>
      </c>
      <c r="N57" s="4">
        <v>628349</v>
      </c>
      <c r="O57" s="9">
        <f>495.41*10</f>
        <v>4954.1</v>
      </c>
      <c r="P57" s="9">
        <f>115.23*10</f>
        <v>1152.3</v>
      </c>
      <c r="Q57" s="16"/>
      <c r="R57" s="16"/>
    </row>
    <row r="58" spans="1:16" ht="15">
      <c r="A58" s="33"/>
      <c r="B58" s="12" t="s">
        <v>66</v>
      </c>
      <c r="C58" s="17">
        <v>69179</v>
      </c>
      <c r="D58" s="17">
        <v>67901</v>
      </c>
      <c r="E58" s="17">
        <v>960478</v>
      </c>
      <c r="F58" s="17">
        <v>15294</v>
      </c>
      <c r="G58" s="17">
        <v>18747076</v>
      </c>
      <c r="H58" s="5">
        <v>235633</v>
      </c>
      <c r="I58" s="5">
        <v>41838607</v>
      </c>
      <c r="J58" s="18">
        <v>1337.1425073375378</v>
      </c>
      <c r="K58" s="18">
        <v>126549.67199407879</v>
      </c>
      <c r="L58" s="5">
        <v>381464280</v>
      </c>
      <c r="M58" s="5">
        <v>510246036</v>
      </c>
      <c r="N58" s="5">
        <v>51623636</v>
      </c>
      <c r="O58" s="18">
        <v>1662648.4366172226</v>
      </c>
      <c r="P58" s="18">
        <v>83905.69557626656</v>
      </c>
    </row>
    <row r="61" spans="3:14" ht="15">
      <c r="C61" s="24"/>
      <c r="D61" s="24"/>
      <c r="E61" s="24"/>
      <c r="F61" s="24"/>
      <c r="G61" s="24"/>
      <c r="H61" s="24"/>
      <c r="I61" s="24"/>
      <c r="L61" s="24"/>
      <c r="M61" s="24"/>
      <c r="N61" s="24"/>
    </row>
  </sheetData>
  <sheetProtection/>
  <mergeCells count="11">
    <mergeCell ref="A2:A3"/>
    <mergeCell ref="O3:P3"/>
    <mergeCell ref="A1:P1"/>
    <mergeCell ref="C2:D2"/>
    <mergeCell ref="E2:F2"/>
    <mergeCell ref="G2:K2"/>
    <mergeCell ref="L2:P2"/>
    <mergeCell ref="H3:I3"/>
    <mergeCell ref="J3:K3"/>
    <mergeCell ref="M3:N3"/>
    <mergeCell ref="B2:B3"/>
  </mergeCells>
  <printOptions/>
  <pageMargins left="0.12" right="0.12" top="0.25" bottom="0.75" header="0.15" footer="0.3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gali</cp:lastModifiedBy>
  <cp:lastPrinted>2014-05-15T10:32:28Z</cp:lastPrinted>
  <dcterms:created xsi:type="dcterms:W3CDTF">2014-01-07T09:40:27Z</dcterms:created>
  <dcterms:modified xsi:type="dcterms:W3CDTF">2014-05-15T10:37:15Z</dcterms:modified>
  <cp:category/>
  <cp:version/>
  <cp:contentType/>
  <cp:contentStatus/>
</cp:coreProperties>
</file>